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818" firstSheet="13" activeTab="22"/>
    <workbookView xWindow="-15" yWindow="-15" windowWidth="19095" windowHeight="11775" tabRatio="791" activeTab="5"/>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53" r:id="rId8"/>
    <sheet name="T_AutoYSeguroMulti" sheetId="51" r:id="rId9"/>
    <sheet name="T_SeguroAnual" sheetId="52" r:id="rId10"/>
    <sheet name="T_SoloAuto" sheetId="48" r:id="rId11"/>
    <sheet name="T_VidaMulti" sheetId="49" r:id="rId12"/>
    <sheet name="T_VidaAnual" sheetId="54" r:id="rId13"/>
    <sheet name="T_RenovVidaAnual" sheetId="55"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TipoCliente" sheetId="59" r:id="rId22"/>
    <sheet name="LogDeCierres" sheetId="58" r:id="rId23"/>
  </sheets>
  <functionGroups/>
  <definedNames>
    <definedName name="_3.5T">'C. Seguros'!$A$8</definedName>
    <definedName name="_Abono_Anticipado" localSheetId="8">T_AutoYSeguroMulti!$V$20:$V$79</definedName>
    <definedName name="_Abono_Anticipado" localSheetId="7">T_Merger!$S$20:$S$79</definedName>
    <definedName name="_Abono_Anticipado" localSheetId="9">T_SeguroAnual!$V$20:$V$79</definedName>
    <definedName name="_Abono_Opcion_1" localSheetId="7">T_Merger!$AD$20:$AE$79</definedName>
    <definedName name="_Abono_Opcion_2" localSheetId="7">T_Merger!$AG$20:$AH$79</definedName>
    <definedName name="_Abono_Opcion_3" localSheetId="7">T_Merger!$AD$20:$AE$79</definedName>
    <definedName name="_Abono_Sobrante" localSheetId="8">T_AutoYSeguroMulti!$Z$20:$Z$79</definedName>
    <definedName name="_Abono_Sobrante" localSheetId="9">T_SeguroAnual!$Z$20:$Z$79</definedName>
    <definedName name="_Abono_Sobrante_Ciclo_Anterior" localSheetId="8">T_AutoYSeguroMulti!$AB$20:$AB$79</definedName>
    <definedName name="_Abono_Sobrante_Ciclo_Anterior" localSheetId="9">T_SeguroAnual!$AB$20:$AB$79</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mortizacion" localSheetId="8">T_AutoYSeguroMulti!$J$20:$J$79</definedName>
    <definedName name="_Amortizacion" localSheetId="7">T_Merger!$J$20:$J$79</definedName>
    <definedName name="_Amortizacion" localSheetId="13">T_RenovVidaAnual!$J$20:$J$79</definedName>
    <definedName name="_Amortizacion" localSheetId="9">T_SeguroAnual!$J$20:$J$79</definedName>
    <definedName name="_Amortizacion" localSheetId="10">T_SoloAuto!$J$20:$J$79</definedName>
    <definedName name="_Amortizacion" localSheetId="12">T_VidaAnual!$J$20:$J$79</definedName>
    <definedName name="_Amortizacion" localSheetId="11">T_VidaMulti!$J$20:$J$79</definedName>
    <definedName name="_AmortizacionesTablaCliente" localSheetId="3">TablaCliente!$A$20:$A$79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Fechas!$B$15</definedName>
    <definedName name="_Búsqueda_Fechas_Pago" localSheetId="5">Fechas!$B$14</definedName>
    <definedName name="_Calculo_Capital" localSheetId="10">T_SoloAuto!$Z$20:$Z$79</definedName>
    <definedName name="_Calculo_Capital" localSheetId="12">T_VidaAnual!$Z$20:$Z$79</definedName>
    <definedName name="_Calculo_Capital" localSheetId="11">T_VidaMulti!$Z$20:$Z$79</definedName>
    <definedName name="_Capital" localSheetId="8">T_AutoYSeguroMulti!$O$20:$O$79</definedName>
    <definedName name="_Capital" localSheetId="7">T_Merger!$M$20:$M$79</definedName>
    <definedName name="_Capital" localSheetId="9">T_SeguroAnual!$O$20:$O$79</definedName>
    <definedName name="_Capital" localSheetId="10">T_SoloAuto!$AB$20:$AB$79</definedName>
    <definedName name="_Capital" localSheetId="12">T_VidaAnual!$AB$20:$AB$79</definedName>
    <definedName name="_Capital" localSheetId="11">T_VidaMulti!$AB$20:$AB$79</definedName>
    <definedName name="_Capital_Elegida" localSheetId="8">T_AutoYSeguroMulti!$M$20:$M$79</definedName>
    <definedName name="_Capital_Elegida" localSheetId="9">T_SeguroAnual!$M$20:$M$79</definedName>
    <definedName name="_Capital_Opcion_1" localSheetId="8">T_AutoYSeguroMulti!$AU$20:$AU$79</definedName>
    <definedName name="_Capital_Opcion_1" localSheetId="7">T_Merger!$Y$20:$Y$79</definedName>
    <definedName name="_Capital_Opcion_1" localSheetId="9">T_SeguroAnual!$AU$20:$AU$79</definedName>
    <definedName name="_Capital_Opcion_2" localSheetId="8">T_AutoYSeguroMulti!$AY$20:$AY$79</definedName>
    <definedName name="_Capital_Opcion_2" localSheetId="7">T_Merger!$Y$20:$Y$79</definedName>
    <definedName name="_Capital_Opcion_2" localSheetId="9">T_SeguroAnual!$AY$20:$AY$79</definedName>
    <definedName name="_Capital_Opcion_3" localSheetId="8">T_AutoYSeguroMulti!$AZ$20:$AZ$79</definedName>
    <definedName name="_Capital_Opcion_3" localSheetId="7">T_Merger!$Z$20:$Z$79</definedName>
    <definedName name="_Capital_Opcion_3" localSheetId="9">T_SeguroAnual!$AZ$20:$AZ$79</definedName>
    <definedName name="_Capital_Original" localSheetId="8">T_AutoYSeguroMulti!$AR$20:$AR$79</definedName>
    <definedName name="_Capital_Original" localSheetId="9">T_SeguroAnual!$AR$20:$AR$79</definedName>
    <definedName name="_Captura_Abono_Local" localSheetId="8">T_AutoYSeguroMulti!$Y$20:$Y$79</definedName>
    <definedName name="_Captura_Abono_Local" localSheetId="7">T_Merger!$AB$20:$AB$79</definedName>
    <definedName name="_Captura_Abono_Local" localSheetId="9">T_SeguroAnual!$Y$20:$Y$79</definedName>
    <definedName name="_CapturaAbonoAnticipadoTablaCliente" localSheetId="3">TablaCliente!$H$20:$H$79</definedName>
    <definedName name="_Ciclicas" localSheetId="8">T_AutoYSeguroMulti!$AE$20:$AE$79</definedName>
    <definedName name="_Ciclicas" localSheetId="13">T_RenovVidaAnual!$K$20:$K$79</definedName>
    <definedName name="_Ciclicas" localSheetId="9">T_SeguroAnual!$AE$20:$AE$79</definedName>
    <definedName name="_Ciclicas" localSheetId="10">T_SoloAuto!$K$20:$K$79</definedName>
    <definedName name="_Ciclicas" localSheetId="12">T_VidaAnual!$K$20:$K$79</definedName>
    <definedName name="_Ciclicas" localSheetId="11">T_VidaMulti!$K$20:$K$79</definedName>
    <definedName name="_Ciclicas_Remanentes" localSheetId="8">T_AutoYSeguroMulti!$AF$20:$AF$79</definedName>
    <definedName name="_Ciclicas_Remanentes" localSheetId="9">T_SeguroAnual!$AF$20:$AF$79</definedName>
    <definedName name="_Ciclicas_Remanentes_Efectivas" localSheetId="8">T_AutoYSeguroMulti!$AG$20:$AG$79</definedName>
    <definedName name="_Ciclicas_Remanentes_Efectivas" localSheetId="9">T_SeguroAnual!$AG$20:$AG$79</definedName>
    <definedName name="_Ciclo" localSheetId="8">T_AutoYSeguroMulti!$AH$20:$AH$79</definedName>
    <definedName name="_Ciclo" localSheetId="13">T_RenovVidaAnual!$L$20:$L$79</definedName>
    <definedName name="_Ciclo" localSheetId="9">T_SeguroAnual!$AH$20:$AH$79</definedName>
    <definedName name="_Ciclo" localSheetId="10">T_SoloAuto!$L$20:$L$79</definedName>
    <definedName name="_Ciclo" localSheetId="12">T_VidaAnual!$L$20:$L$79</definedName>
    <definedName name="_Ciclo" localSheetId="11">T_VidaMulti!$L$20:$L$79</definedName>
    <definedName name="_Componentes_CAT" localSheetId="14">CAT!$E$20:$H$79</definedName>
    <definedName name="_Componentes_Pago_Proyectado" localSheetId="8">T_AutoYSeguroMulti!$AV$20:$AW$79</definedName>
    <definedName name="_Componentes_Pago_Proyectado" localSheetId="9">T_SeguroAnual!$AV$20:$AW$79</definedName>
    <definedName name="_Datos" localSheetId="5">Fechas!$H:$I</definedName>
    <definedName name="_Día_Cotización" localSheetId="5">Fechas!$B$13</definedName>
    <definedName name="_Dias_Cat" localSheetId="10">T_SoloAuto!$AH$20:$AH$79</definedName>
    <definedName name="_Dias_Cat" localSheetId="12">T_VidaAnual!$AH$20:$AH$79</definedName>
    <definedName name="_Dias_Cat" localSheetId="11">T_VidaMulti!$AH$20:$AH$79</definedName>
    <definedName name="_Dias_Interes_CAT" localSheetId="5">Fechas!$D$20:$D$1048576</definedName>
    <definedName name="_Dias_Interes_CAT" localSheetId="8">T_AutoYSeguroMulti!$BC$20:$BC$79</definedName>
    <definedName name="_Dias_Interes_CAT" localSheetId="9">T_SeguroAnual!$BC$20:$BC$79</definedName>
    <definedName name="_Dias_Interes_Pago" localSheetId="5">Fechas!$F$20:$F$1048576</definedName>
    <definedName name="_Dias_Interes_Periodo" localSheetId="8">T_AutoYSeguroMulti!$R$20:$R$79</definedName>
    <definedName name="_Dias_Interes_Periodo" localSheetId="7">T_Merger!$O$20:$O$79</definedName>
    <definedName name="_Dias_Interes_Periodo" localSheetId="9">T_SeguroAnual!$R$20:$R$79</definedName>
    <definedName name="_Dias_Interes_Periodo" localSheetId="10">T_SoloAuto!$U$20:$U$79</definedName>
    <definedName name="_Dias_Interes_Periodo" localSheetId="12">T_VidaAnual!$U$20:$U$79</definedName>
    <definedName name="_Dias_Interes_Periodo" localSheetId="11">T_VidaMulti!$U$20:$U$79</definedName>
    <definedName name="_Etiqueta_Duración_Intereses" localSheetId="5">Fechas!$B$10</definedName>
    <definedName name="_Etiqueta_Fechas_Pago" localSheetId="5">Fechas!$B$9</definedName>
    <definedName name="_Fecha_Cotización" localSheetId="5">Fechas!$B$4</definedName>
    <definedName name="_Fecha_Pago" localSheetId="5">Fechas!$H$19:$H$79</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CAT!$K$19:$K$79</definedName>
    <definedName name="_Frecuencia" localSheetId="5">Fechas!$B$6</definedName>
    <definedName name="_Headers" localSheetId="5">Fechas!$19:$19</definedName>
    <definedName name="_Interes" localSheetId="8">T_AutoYSeguroMulti!$S$20:$S$79</definedName>
    <definedName name="_Interes" localSheetId="7">T_Merger!$P$20:$P$79</definedName>
    <definedName name="_Interes" localSheetId="9">T_SeguroAnual!$S$20:$S$79</definedName>
    <definedName name="_Interes" localSheetId="10">T_SoloAuto!$V$20:$V$79</definedName>
    <definedName name="_Interes" localSheetId="12">T_VidaAnual!$V$20:$V$79</definedName>
    <definedName name="_Interes" localSheetId="11">T_VidaMulti!$V$20:$V$79</definedName>
    <definedName name="_Interes_CAT" localSheetId="8">T_AutoYSeguroMulti!$BD$20:$BD$79</definedName>
    <definedName name="_Interes_CAT" localSheetId="9">T_SeguroAnual!$BD$20:$BD$79</definedName>
    <definedName name="_Interes_CAT" localSheetId="10">T_SoloAuto!$AI$20:$AI$79</definedName>
    <definedName name="_Interes_CAT" localSheetId="12">T_VidaAnual!$AI$20:$AI$79</definedName>
    <definedName name="_Interes_CAT" localSheetId="11">T_VidaMulti!$AI$20:$AI$79</definedName>
    <definedName name="_Interes_Diario" localSheetId="8">T_AutoYSeguroMulti!$P$20:$P$79</definedName>
    <definedName name="_Interes_Diario" localSheetId="7">T_Merger!$N$20:$N$79</definedName>
    <definedName name="_Interes_Diario" localSheetId="9">T_SeguroAnual!$P$20:$P$79</definedName>
    <definedName name="_Interes_Diario" localSheetId="10">T_SoloAuto!$S$20:$S$79</definedName>
    <definedName name="_Interes_Diario" localSheetId="12">T_VidaAnual!$S$20:$S$79</definedName>
    <definedName name="_Interes_Diario" localSheetId="11">T_VidaMulti!$S$20:$S$79</definedName>
    <definedName name="_Interes_Diario_CAT" localSheetId="8">T_AutoYSeguroMulti!$BB$20:$BB$79</definedName>
    <definedName name="_Interes_Diario_CAT" localSheetId="9">T_SeguroAnual!$BB$20:$BB$79</definedName>
    <definedName name="_Interes_Diario_Original" localSheetId="8">T_AutoYSeguroMulti!$AN$20:$AN$79</definedName>
    <definedName name="_Interes_Diario_Original" localSheetId="9">T_SeguroAnual!$AN$20:$AN$79</definedName>
    <definedName name="_Interes_Original" localSheetId="8">T_AutoYSeguroMulti!$AP$20:$AP$79</definedName>
    <definedName name="_Interes_Original" localSheetId="9">T_SeguroAnual!$AP$20:$AP$79</definedName>
    <definedName name="_Interes_Periodo_Regular" localSheetId="8">T_AutoYSeguroMulti!$Q$20:$Q$79</definedName>
    <definedName name="_Interes_Periodo_Regular" localSheetId="9">T_SeguroAnual!$Q$20:$Q$79</definedName>
    <definedName name="_Interes_Periodo_Regular" localSheetId="10">T_SoloAuto!$T$20:$T$79</definedName>
    <definedName name="_Interes_Periodo_Regular" localSheetId="12">T_VidaAnual!$T$20:$T$79</definedName>
    <definedName name="_Interes_Periodo_Regular" localSheetId="11">T_VidaMulti!$T$20:$T$79</definedName>
    <definedName name="_Interes_Regular_Original" localSheetId="8">T_AutoYSeguroMulti!$AO$20:$AO$79</definedName>
    <definedName name="_Interes_Regular_Original" localSheetId="9">T_SeguroAnual!$AO$20:$AO$79</definedName>
    <definedName name="_Iva" localSheetId="8">T_AutoYSeguroMulti!$T$20:$T$79</definedName>
    <definedName name="_IVA" localSheetId="7">T_Merger!$Q$20:$Q$79</definedName>
    <definedName name="_Iva" localSheetId="9">T_SeguroAnual!$T$20:$T$79</definedName>
    <definedName name="_Iva" localSheetId="10">T_SoloAuto!$X$20:$X$79</definedName>
    <definedName name="_Iva" localSheetId="12">T_VidaAnual!$X$20:$X$79</definedName>
    <definedName name="_Iva" localSheetId="11">T_VidaMulti!$X$20:$X$79</definedName>
    <definedName name="_Num.Flujo" localSheetId="14">CAT!$J$19:$J$79</definedName>
    <definedName name="_Pago" localSheetId="8">T_AutoYSeguroMulti!$U$20:$U$79</definedName>
    <definedName name="_Pago" localSheetId="7">T_Merger!$R$20:$R$79</definedName>
    <definedName name="_Pago" localSheetId="9">T_SeguroAnual!$U$20:$U$79</definedName>
    <definedName name="_Pago" localSheetId="10">T_SoloAuto!$AD$20:$AD$79</definedName>
    <definedName name="_Pago" localSheetId="12">T_VidaAnual!$AD$20:$AD$79</definedName>
    <definedName name="_Pago" localSheetId="11">T_VidaMulti!$AD$20:$AD$79</definedName>
    <definedName name="_Pago_Cat" localSheetId="8">T_AutoYSeguroMulti!$BE$20:$BE$79</definedName>
    <definedName name="_Pago_Cat" localSheetId="9">T_SeguroAnual!$BE$20:$BE$79</definedName>
    <definedName name="_Pago_CAT" localSheetId="10">T_SoloAuto!$AJ$20:$AJ$79</definedName>
    <definedName name="_Pago_CAT" localSheetId="12">T_VidaAnual!$AJ$20:$AJ$79</definedName>
    <definedName name="_Pago_CAT" localSheetId="11">T_VidaMulti!$AJ$20:$AJ$79</definedName>
    <definedName name="_Pago_Fijo" localSheetId="8">T_AutoYSeguroMulti!$AK$20:$AK$79</definedName>
    <definedName name="_Pago_Fijo" localSheetId="7">T_Merger!$X$20:$X$79</definedName>
    <definedName name="_Pago_Fijo" localSheetId="9">T_SeguroAnual!$AK$20:$AK$79</definedName>
    <definedName name="_Pago_Fijo" localSheetId="10">T_SoloAuto!$O$20:$O$79</definedName>
    <definedName name="_Pago_Fijo" localSheetId="12">T_VidaAnual!$O$20:$O$79</definedName>
    <definedName name="_Pago_Fijo" localSheetId="11">T_VidaMulti!$O$20:$O$79</definedName>
    <definedName name="_Pago_Proyectado" localSheetId="8">T_AutoYSeguroMulti!$AX$20:$AX$79</definedName>
    <definedName name="_Pago_Proyectado" localSheetId="9">T_SeguroAnual!$AX$20:$AX$79</definedName>
    <definedName name="_Producto" localSheetId="5">Fechas!$B$5</definedName>
    <definedName name="_Remanentes" localSheetId="8">T_AutoYSeguroMulti!$AD$20:$AD$79</definedName>
    <definedName name="_Remanentes" localSheetId="9">T_SeguroAnual!$AD$20:$AD$79</definedName>
    <definedName name="_Saldo_Ciclico" localSheetId="8">T_AutoYSeguroMulti!$AJ$20:$AJ$79</definedName>
    <definedName name="_Saldo_Ciclico" localSheetId="9">T_SeguroAnual!$AJ$20:$AJ$79</definedName>
    <definedName name="_Saldo_Ciclico" localSheetId="10">T_SoloAuto!$N$20:$N$79</definedName>
    <definedName name="_Saldo_Ciclico" localSheetId="12">T_VidaAnual!$N$20:$N$79</definedName>
    <definedName name="_Saldo_Ciclico" localSheetId="11">T_VidaMulti!$N$20:$N$79</definedName>
    <definedName name="_Saldo_Final" localSheetId="8">T_AutoYSeguroMulti!$W$20:$W$79</definedName>
    <definedName name="_Saldo_Final" localSheetId="7">T_Merger!$T$20:$T$79</definedName>
    <definedName name="_Saldo_Final" localSheetId="9">T_SeguroAnual!$W$20:$W$79</definedName>
    <definedName name="_Saldo_Final" localSheetId="10">T_SoloAuto!$AF$20:$AF$79</definedName>
    <definedName name="_Saldo_Final" localSheetId="12">T_VidaAnual!$AF$20:$AF$79</definedName>
    <definedName name="_Saldo_Final" localSheetId="11">T_VidaMulti!$AF$20:$AF$79</definedName>
    <definedName name="_Saldo_Final_Original" localSheetId="8">T_AutoYSeguroMulti!$AS$20:$AS$79</definedName>
    <definedName name="_Saldo_Final_Original" localSheetId="9">T_SeguroAnual!$AS$20:$AS$79</definedName>
    <definedName name="_Saldo_Inicial" localSheetId="8">T_AutoYSeguroMulti!$L$20:$L$79</definedName>
    <definedName name="_Saldo_Inicial" localSheetId="7">T_Merger!$L$20:$L$79</definedName>
    <definedName name="_Saldo_Inicial" localSheetId="9">T_SeguroAnual!$L$20:$L$79</definedName>
    <definedName name="_Saldo_Inicial" localSheetId="10">T_SoloAuto!$Q$20:$Q$79</definedName>
    <definedName name="_Saldo_Inicial" localSheetId="12">T_VidaAnual!$Q$20:$Q$79</definedName>
    <definedName name="_Saldo_Inicial" localSheetId="11">T_VidaMulti!$Q$20:$Q$79</definedName>
    <definedName name="_Saldo_Inicial_Original" localSheetId="8">T_AutoYSeguroMulti!$AM$20:$AM$79</definedName>
    <definedName name="_Saldo_Inicial_Original" localSheetId="9">T_SeguroAnual!$AM$20:$AM$79</definedName>
    <definedName name="_Saldo_Renov_Anual" localSheetId="13">T_RenovVidaAnual!$N$20:$N$79</definedName>
    <definedName name="_Salida_Abono_1" localSheetId="7">T_Merger!$AJ$20:$AJ$79</definedName>
    <definedName name="_Salida_Abono_2" localSheetId="7">T_Merger!$AK$20:$AK$79</definedName>
    <definedName name="_Sobrante_Acumulado_x_Ciclo" localSheetId="8">T_AutoYSeguroMulti!$AA$20:$AA$79</definedName>
    <definedName name="_Sobrante_Acumulado_x_Ciclo" localSheetId="9">T_SeguroAnual!$AA$20:$AA$79</definedName>
    <definedName name="_Stopper_Capital" localSheetId="8">T_AutoYSeguroMulti!$N$20:$N$79</definedName>
    <definedName name="_Stopper_Capital" localSheetId="9">T_SeguroAnual!$N$20:$N$79</definedName>
    <definedName name="_Stopper_Capital" localSheetId="10">T_SoloAuto!$AA$20:$AA$79</definedName>
    <definedName name="_Stopper_Capital" localSheetId="12">T_VidaAnual!$AA$20:$AA$79</definedName>
    <definedName name="_Stopper_Capital" localSheetId="11">T_VidaMulti!$AA$20:$AA$79</definedName>
    <definedName name="_Stopper_Capital_Original" localSheetId="8">T_AutoYSeguroMulti!$AQ$20:$AQ$79</definedName>
    <definedName name="_Stopper_Capital_Original" localSheetId="9">T_SeguroAnual!$AQ$20:$AQ$79</definedName>
    <definedName name="_Stopper_Saldo_Inicial" localSheetId="7">T_Merger!$V$20:$V$79</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C.TipoCliente!$A$15:$C$19</definedName>
    <definedName name="C_CONDICION_MODELO">'C. Auto'!$I$9:$L$11</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C.TipoCliente!$A$3:$B$5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ASAS_INTERES">'C. Tasas'!#REF!</definedName>
    <definedName name="C_TIPO_CLIENTE">C.TipoCliente!#REF!</definedName>
    <definedName name="C_TIPO_PERSONA" comment="Catálogo.">'C. Seguros'!$A$30:$E$33</definedName>
    <definedName name="C_TIPO_PERSONA_DESC" comment="Catálogo Relativo.">OFFSET(C_TIPO_PERSONA,0,1,,2)</definedName>
    <definedName name="C_TIPO_TARIFA">C.TipoCliente!$A$9:$C$11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 Comunes'!$B$5</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C.TipoCliente!$A$4:$A$5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CLIENTE">C.TipoCliente!#REF!</definedName>
    <definedName name="COMBO_TIPO_PERSONA">'C. Seguros'!$B$31:$B$33</definedName>
    <definedName name="COMBO_TIPO_TARIFA">C.TipoCliente!$A$10:$A$11</definedName>
    <definedName name="Componentes.Pago.Fijo" localSheetId="8">T_AutoYSeguroMulti!$F$22:$F$23</definedName>
    <definedName name="Componentes.Pago.Fijo" localSheetId="9">T_SeguroAnual!$F$22:$F$23</definedName>
    <definedName name="Componentes.Pago.Fijo" localSheetId="10">T_SoloAuto!$F$22:$F$23</definedName>
    <definedName name="Componentes.Pago.Fijo" localSheetId="12">T_VidaAnual!$F$22:$F$23</definedName>
    <definedName name="Componentes.Pago.Fijo" localSheetId="11">T_VidaMulti!$F$22:$F$23</definedName>
    <definedName name="Componentes.Pago.Fijo.Inicial" localSheetId="8">T_AutoYSeguroMulti!$F$26:$F$27</definedName>
    <definedName name="Componentes.Pago.Fijo.Inicial" localSheetId="9">T_SeguroAnual!$F$26:$F$27</definedName>
    <definedName name="Componentes.Pago.Fijo.Inicial" localSheetId="10">T_SoloAuto!$F$26:$F$27</definedName>
    <definedName name="Componentes.Pago.Fijo.Inicial" localSheetId="12">T_VidaAnual!$F$26:$F$27</definedName>
    <definedName name="Componentes.Pago.Fijo.Inicial" localSheetId="11">T_VidaMulti!$F$26:$F$27</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fig.Estandar" localSheetId="8">T_AutoYSeguroMulti!$B$10:$B$16</definedName>
    <definedName name="Config.Estandar" localSheetId="9">T_SeguroAnual!$B$10:$B$16</definedName>
    <definedName name="CONST_AÑOS_PLAZOS_LIMITADOS">'C. Comunes'!$C$52</definedName>
    <definedName name="CONST_Constante_Base_Vida">'C. Seguros'!$C$59</definedName>
    <definedName name="CONST_CORTE_1">Fechas!$I$12</definedName>
    <definedName name="CONST_CORTE_2">Fechas!$I$13</definedName>
    <definedName name="CONST_Cuota_Base_Vida">'C. Seguros'!$C$58</definedName>
    <definedName name="CONST_DESCUENTO_IVA_INTERES">'C. Comunes'!$C$48</definedName>
    <definedName name="Const_Dia_Corte_Aniversario" localSheetId="5">Fechas!$I$9</definedName>
    <definedName name="CONST_DIAS_BASE_INTERES" localSheetId="5">Fechas!$I$10</definedName>
    <definedName name="CONST_DIAS_EN_AÑO">'C. Comunes'!$C$50</definedName>
    <definedName name="CONST_DIAS_EN_MES">'C. Comunes'!$C$49</definedName>
    <definedName name="CONST_DIAS_LIMITE" localSheetId="5">Fechas!$I$11</definedName>
    <definedName name="CONST_Gastos_Expedicion_Semi_Ant">'C. Seguros'!$C$60</definedName>
    <definedName name="CONST_MESES_EN_AÑO">'C. Comunes'!$C$51</definedName>
    <definedName name="CONST_UMBRAL_ENGANCHE">'C. Tasas'!#REF!</definedName>
    <definedName name="CONST_UMBRAL_ENGANCHE_SEMI">'C. Tasas'!#REF!</definedName>
    <definedName name="CONST_UMBRAL_MONTO">'C. Tasas'!#REF!</definedName>
    <definedName name="Constante_Base_Vida">Calculos!$F$104</definedName>
    <definedName name="CONTEO_AUTOS">C.Seminuevos!$O$5</definedName>
    <definedName name="CONTEO_MARCAS">C.Seminuevos!$M$5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Fechas!$B$13</definedName>
    <definedName name="Dias.En.Año" localSheetId="8">T_AutoYSeguroMulti!$C$23</definedName>
    <definedName name="Dias.En.Año" localSheetId="7">T_Merger!$C$22</definedName>
    <definedName name="Dias.En.Año" localSheetId="9">T_SeguroAnual!$C$23</definedName>
    <definedName name="Dias.En.Año" localSheetId="10">T_SoloAuto!$C$23</definedName>
    <definedName name="Dias.En.Año" localSheetId="12">T_VidaAnual!$C$23</definedName>
    <definedName name="Dias.En.Año" localSheetId="11">T_VidaMulti!$C$23</definedName>
    <definedName name="Dias.Por.Periodo" localSheetId="8">T_AutoYSeguroMulti!$C$18</definedName>
    <definedName name="Dias.Por.Periodo" localSheetId="7">T_Merger!$C$17</definedName>
    <definedName name="Dias.Por.Periodo" localSheetId="9">T_SeguroAnual!$C$18</definedName>
    <definedName name="Dias.Por.Periodo" localSheetId="10">T_SoloAuto!$C$18</definedName>
    <definedName name="Dias.Por.Periodo" localSheetId="12">T_VidaAnual!$C$18</definedName>
    <definedName name="Dias.Por.Periodo" localSheetId="11">T_VidaMulti!$C$18</definedName>
    <definedName name="Días_de_interés_para_Pago">Fechas!$I$20</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Fechas!$E$20:$E$1048576</definedName>
    <definedName name="FREC.DiasPorPeriodo">Calculos!$P$24</definedName>
    <definedName name="FREC.PeriodosPorAño">Calculos!$Q$24</definedName>
    <definedName name="Garantía_Extendida.Aplica?">Calculos!$B$97</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CLIENTE">Calculos!#REF!</definedName>
    <definedName name="ID_TIPO_PERSONA">Calculos!$C$7</definedName>
    <definedName name="INPUT_CELLS">Captura!$D$5:$D$16,Captura!$D$20:$D$23,Captura!$D$17:$D$18</definedName>
    <definedName name="Iva.Intereses" localSheetId="8">T_AutoYSeguroMulti!$C$21</definedName>
    <definedName name="Iva.Intereses" localSheetId="7">T_Merger!$C$20</definedName>
    <definedName name="Iva.Intereses" localSheetId="9">T_SeguroAnual!$C$21</definedName>
    <definedName name="Iva.Intereses" localSheetId="10">T_SoloAuto!$C$21</definedName>
    <definedName name="Iva.Intereses" localSheetId="12">T_VidaAnual!$C$21</definedName>
    <definedName name="Iva.Intereses" localSheetId="11">T_VidaMulti!$C$21</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Fechas!$E$17</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Extra.Ciclo.1" localSheetId="8">T_AutoYSeguroMulti!$C$36</definedName>
    <definedName name="Monto.Extra.Ciclo.1" localSheetId="9">T_SeguroAnual!$C$36</definedName>
    <definedName name="Monto.Extra.Ciclo.1" localSheetId="10">T_SoloAuto!$C$32</definedName>
    <definedName name="Monto.Extra.Ciclo.1" localSheetId="12">T_VidaAnual!$C$32</definedName>
    <definedName name="Monto.Extra.Ciclo.1" localSheetId="11">T_VidaMulti!$C$32</definedName>
    <definedName name="Monto.Financiar" localSheetId="8">T_AutoYSeguroMulti!$C$17</definedName>
    <definedName name="Monto.Financiar" localSheetId="9">T_SeguroAnual!$C$17</definedName>
    <definedName name="Monto.Financiar" localSheetId="10">T_SoloAuto!$C$17</definedName>
    <definedName name="Monto.Financiar" localSheetId="12">T_VidaAnual!$C$17</definedName>
    <definedName name="Monto.Financiar" localSheetId="11">T_VidaMulti!$C$17</definedName>
    <definedName name="Monto.Financiar.Ciclico" localSheetId="8">T_AutoYSeguroMulti!$C$17</definedName>
    <definedName name="Monto.Financiar.Ciclico" localSheetId="9">T_SeguroAnual!$C$17</definedName>
    <definedName name="Monto.Renovacion" localSheetId="13">T_RenovVidaAnual!$C$17</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bla.Ciclica" localSheetId="7">T_Merger!$C$25</definedName>
    <definedName name="Nombre.Tabla.Estandar" localSheetId="7">T_Merger!$C$24</definedName>
    <definedName name="NombreTarifaSemiAnt">Calculos!$H$68</definedName>
    <definedName name="Numero.De.Pagos" localSheetId="13">T_RenovVidaAnual!$C$19</definedName>
    <definedName name="Numero.Pagos" localSheetId="8">T_AutoYSeguroMulti!$C$20</definedName>
    <definedName name="Numero.pagos" localSheetId="7">T_Merger!$C$19</definedName>
    <definedName name="Numero.Pagos" localSheetId="9">T_SeguroAnual!$C$20</definedName>
    <definedName name="Numero.Pagos" localSheetId="10">T_SoloAuto!$C$20</definedName>
    <definedName name="Numero.Pagos" localSheetId="12">T_VidaAnual!$C$20</definedName>
    <definedName name="Numero.Pagos" localSheetId="11">T_VidaMulti!$C$20</definedName>
    <definedName name="NumeroDePagos">Calculos!$F$142</definedName>
    <definedName name="Opcion.Abono" localSheetId="8">T_AutoYSeguroMulti!$C$27</definedName>
    <definedName name="Opcion.Abono" localSheetId="7">T_Merger!$C$23</definedName>
    <definedName name="Opcion.Abono" localSheetId="9">T_SeguroAnual!$C$27</definedName>
    <definedName name="Opción_1_2_Semi">'C. Comunes'!$I$67</definedName>
    <definedName name="Opción_3_Semi">'C. Comunes'!$G$67</definedName>
    <definedName name="Pago.Extra.Ciclo.1" localSheetId="8">T_AutoYSeguroMulti!$F$28</definedName>
    <definedName name="Pago.Extra.Ciclo.1" localSheetId="9">T_SeguroAnual!$F$28</definedName>
    <definedName name="Pago.Extra.Ciclo.1" localSheetId="10">T_SoloAuto!$F$28</definedName>
    <definedName name="Pago.Extra.Ciclo.1" localSheetId="12">T_VidaAnual!$F$28</definedName>
    <definedName name="Pago.Extra.Ciclo.1" localSheetId="11">T_VidaMulti!$F$28</definedName>
    <definedName name="Pago.Fijo" localSheetId="8">T_AutoYSeguroMulti!$F$24</definedName>
    <definedName name="Pago.Fijo" localSheetId="9">T_SeguroAnual!$F$24</definedName>
    <definedName name="Pago.Fijo" localSheetId="10">T_SoloAuto!$F$24</definedName>
    <definedName name="Pago.Fijo" localSheetId="12">T_VidaAnual!$F$24</definedName>
    <definedName name="Pago.Fijo" localSheetId="11">T_VidaMulti!$F$24</definedName>
    <definedName name="PagoAuto">Calculos!$F$145</definedName>
    <definedName name="PagoSeguro">Calculos!$F$147</definedName>
    <definedName name="PagoTotal">Calculos!$F$148</definedName>
    <definedName name="Parametro.Monto.Extra.Ciclo.1" localSheetId="8">T_AutoYSeguroMulti!$C$26</definedName>
    <definedName name="Parametro.Monto.Extra.Ciclo.1" localSheetId="9">T_SeguroAnual!$C$26</definedName>
    <definedName name="Parametro.Monto.Extra.Ciclo.1" localSheetId="10">T_SoloAuto!$C$26</definedName>
    <definedName name="Parametro.Monto.Extra.Ciclo.1" localSheetId="12">T_VidaAnual!$C$26</definedName>
    <definedName name="Parametro.Monto.Extra.Ciclo.1" localSheetId="11">T_VidaMulti!$C$26</definedName>
    <definedName name="Parametro.Rango.Abono.Anticipado" localSheetId="8">T_AutoYSeguroMulti!$C$28</definedName>
    <definedName name="Parametro.Rango.Abono.Anticipado" localSheetId="9">T_SeguroAnual!$C$28</definedName>
    <definedName name="Parametro.Rango.Dias.Cat" localSheetId="8">T_AutoYSeguroMulti!$C$29</definedName>
    <definedName name="Parametro.Rango.Dias.Cat" localSheetId="9">T_SeguroAnual!$C$29</definedName>
    <definedName name="Parametro.Rango.Dias.CAT" localSheetId="10">T_SoloAuto!$C$27</definedName>
    <definedName name="Parametro.Rango.Dias.CAT" localSheetId="12">T_VidaAnual!$C$27</definedName>
    <definedName name="Parametro.Rango.Dias.CAT" localSheetId="11">T_VidaMulti!$C$27</definedName>
    <definedName name="Parametro.Rango.Dias.Periodo" localSheetId="8">T_AutoYSeguroMulti!$C$24</definedName>
    <definedName name="Parametro.Rango.Dias.Periodo" localSheetId="9">T_SeguroAnual!$C$24</definedName>
    <definedName name="Parametro.Rango.Dias.Periodo" localSheetId="10">T_SoloAuto!$C$24</definedName>
    <definedName name="Parametro.Rango.Dias.Periodo" localSheetId="12">T_VidaAnual!$C$24</definedName>
    <definedName name="Parametro.Rango.Dias.Periodo" localSheetId="11">T_VidaMulti!$C$24</definedName>
    <definedName name="Parametro.Tabla.Ciclica.Anual?" localSheetId="8">T_AutoYSeguroMulti!$C$25</definedName>
    <definedName name="Parametro.Tabla.Ciclica.Anual?" localSheetId="9">T_SeguroAnual!$C$25</definedName>
    <definedName name="Parametro.Tabla.Ciclica.Anual?" localSheetId="10">T_SoloAuto!$C$25</definedName>
    <definedName name="Parametro.Tabla.Ciclica.Anual?" localSheetId="12">T_VidaAnual!$C$25</definedName>
    <definedName name="Parametro.Tabla.Ciclica.Anual?" localSheetId="11">T_VidaMulti!$C$25</definedName>
    <definedName name="Periodos.Efectivos" localSheetId="8">T_AutoYSeguroMulti!$F$33</definedName>
    <definedName name="Periodos.Efectivos" localSheetId="7">T_Merger!$F$30</definedName>
    <definedName name="Periodos.Efectivos" localSheetId="9">T_SeguroAnual!$F$33</definedName>
    <definedName name="Periodos.Por.Año" localSheetId="8">T_AutoYSeguroMulti!$C$19</definedName>
    <definedName name="Periodos.Por.Año" localSheetId="7">T_Merger!$C$18</definedName>
    <definedName name="Periodos.Por.Año" localSheetId="13">T_RenovVidaAnual!$C$18</definedName>
    <definedName name="Periodos.Por.Año" localSheetId="9">T_SeguroAnual!$C$19</definedName>
    <definedName name="Periodos.Por.Año" localSheetId="10">T_SoloAuto!$C$19</definedName>
    <definedName name="Periodos.Por.Año" localSheetId="12">T_VidaAnual!$C$19</definedName>
    <definedName name="Periodos.Por.Año" localSheetId="11">T_VidaMulti!$C$19</definedName>
    <definedName name="Periodos.Por.Ciclo" localSheetId="8">T_AutoYSeguroMulti!$F$20</definedName>
    <definedName name="Periodos.Por.Ciclo" localSheetId="13">T_RenovVidaAnual!$F$17</definedName>
    <definedName name="Periodos.Por.Ciclo" localSheetId="9">T_SeguroAnual!$F$20</definedName>
    <definedName name="Periodos.Por.Ciclo" localSheetId="10">T_SoloAuto!$F$20</definedName>
    <definedName name="Periodos.Por.Ciclo" localSheetId="12">T_VidaAnual!$F$20</definedName>
    <definedName name="Periodos.Por.Ciclo" localSheetId="11">T_VidaMulti!$F$20</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TablaCliente!$A$6:$I$85</definedName>
    <definedName name="PROD.Código">Calculos!$P$6</definedName>
    <definedName name="PROD.Id">C.TipoCliente!#REF!</definedName>
    <definedName name="QUERY_AUTOS">C.Seminuevos!$O$7</definedName>
    <definedName name="QUERY_MARCAS">C.Seminuevos!$M$7</definedName>
    <definedName name="Rango.Abono.Anticipado" localSheetId="8">T_AutoYSeguroMulti!$C$34</definedName>
    <definedName name="Rango.Abono.Anticipado" localSheetId="7">T_Merger!$C$26</definedName>
    <definedName name="Rango.Abono.Anticipado" localSheetId="9">T_SeguroAnual!$C$34</definedName>
    <definedName name="Rango.Ciclico.Abono.Sobrante" localSheetId="7">T_Merger!$F$28</definedName>
    <definedName name="Rango.Ciclico.Capital" localSheetId="7">T_Merger!$F$27</definedName>
    <definedName name="Rango.Ciclico.Pago" localSheetId="7">T_Merger!$F$26</definedName>
    <definedName name="Rango.Ciclico.Saldo" localSheetId="7">T_Merger!$F$25</definedName>
    <definedName name="Rango.Dias.Cat" localSheetId="8">T_AutoYSeguroMulti!$C$33</definedName>
    <definedName name="Rango.Dias.Cat" localSheetId="9">T_SeguroAnual!$C$33</definedName>
    <definedName name="Rango.Dias.CAT" localSheetId="10">T_SoloAuto!$C$33</definedName>
    <definedName name="Rango.Dias.CAT" localSheetId="12">T_VidaAnual!$C$33</definedName>
    <definedName name="Rango.Dias.CAT" localSheetId="11">T_VidaMulti!$C$33</definedName>
    <definedName name="Rango.Dias.Periodo" localSheetId="8">T_AutoYSeguroMulti!$C$32</definedName>
    <definedName name="Rango.Dias.Periodo" localSheetId="9">T_SeguroAnual!$C$32</definedName>
    <definedName name="Rango.Dias.Periodo" localSheetId="10">T_SoloAuto!$C$30</definedName>
    <definedName name="Rango.Dias.Periodo" localSheetId="12">T_VidaAnual!$C$30</definedName>
    <definedName name="Rango.Dias.Periodo" localSheetId="11">T_VidaMulti!$C$30</definedName>
    <definedName name="Rango.Estandar.Capital" localSheetId="7">T_Merger!$F$23</definedName>
    <definedName name="Rango.Estandar.Dias.Periodo" localSheetId="7">T_Merger!$F$24</definedName>
    <definedName name="Rango.Estandar.Pago" localSheetId="7">T_Merger!$F$22</definedName>
    <definedName name="Rango.Estandar.Saldo" localSheetId="7">T_Merger!$F$21</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Renueva.Abono.Sobrante?" localSheetId="8">T_AutoYSeguroMulti!$F$30</definedName>
    <definedName name="Renueva.Abono.Sobrante?" localSheetId="9">T_SeguroAnual!$F$30</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TablaCliente!$C$13</definedName>
    <definedName name="SELECCION_PRODUCTO">C.TipoCliente!$F$3</definedName>
    <definedName name="SELECCION_SERVICIO_PREMIUM">Captura!$D$23</definedName>
    <definedName name="SELECCION_TIPO_CLIENTE">C.TipoCliente!#REF!</definedName>
    <definedName name="SELECCION_TIPO_PERSONA">Captura!$D$7</definedName>
    <definedName name="SELECCION_TIPO_TARIFA">C.TipoCliente!$F$9</definedName>
    <definedName name="Tabla.Ciclica.Anual?" localSheetId="8">T_AutoYSeguroMulti!$C$35</definedName>
    <definedName name="Tabla.Ciclica.Anual?" localSheetId="9">T_SeguroAnual!$C$35</definedName>
    <definedName name="Tabla.Ciclica.Anual?" localSheetId="10">T_SoloAuto!$C$31</definedName>
    <definedName name="Tabla.Ciclica.Anual?" localSheetId="12">T_VidaAnual!$C$31</definedName>
    <definedName name="Tabla.Ciclica.Anual?" localSheetId="11">T_VidaMulti!$C$31</definedName>
    <definedName name="Tarifa_IndemnVF">Calculos!$G$79</definedName>
    <definedName name="Tarifa_IndemnVF_Seminuevos_Recientes">Calculos!$H$79</definedName>
    <definedName name="Tasa.Diaria" localSheetId="8">T_AutoYSeguroMulti!$F$18</definedName>
    <definedName name="Tasa.Diaria" localSheetId="7">T_Merger!$F$18</definedName>
    <definedName name="Tasa.Diaria" localSheetId="9">T_SeguroAnual!$F$18</definedName>
    <definedName name="Tasa.Diaria" localSheetId="10">T_SoloAuto!$F$18</definedName>
    <definedName name="Tasa.Diaria" localSheetId="12">T_VidaAnual!$F$18</definedName>
    <definedName name="Tasa.Diaria" localSheetId="11">T_VidaMulti!$F$18</definedName>
    <definedName name="Tasa.Diaria.Por.Periodo" localSheetId="8">T_AutoYSeguroMulti!$F$19</definedName>
    <definedName name="Tasa.Diaria.Por.Periodo" localSheetId="7">T_Merger!$F$19</definedName>
    <definedName name="Tasa.Diaria.Por.Periodo" localSheetId="9">T_SeguroAnual!$F$19</definedName>
    <definedName name="Tasa.Diaria.Por.Periodo" localSheetId="10">T_SoloAuto!$F$19</definedName>
    <definedName name="Tasa.Diaria.Por.Periodo" localSheetId="12">T_VidaAnual!$F$19</definedName>
    <definedName name="Tasa.Diaria.Por.Periodo" localSheetId="11">T_VidaMulti!$F$19</definedName>
    <definedName name="Tasa.Interes" localSheetId="8">T_AutoYSeguroMulti!$C$22</definedName>
    <definedName name="Tasa.Interes" localSheetId="7">T_Merger!$C$21</definedName>
    <definedName name="Tasa.Interes" localSheetId="9">T_SeguroAnual!$C$22</definedName>
    <definedName name="Tasa.Interes" localSheetId="10">T_SoloAuto!$C$22</definedName>
    <definedName name="Tasa.Interes" localSheetId="12">T_VidaAnual!$C$22</definedName>
    <definedName name="Tasa.Interes" localSheetId="11">T_VidaMulti!$C$22</definedName>
    <definedName name="Tasa.Por.Periodo" localSheetId="8">T_AutoYSeguroMulti!$F$17</definedName>
    <definedName name="Tasa.Por.Periodo" localSheetId="7">T_Merger!$F$17</definedName>
    <definedName name="Tasa.Por.Periodo" localSheetId="9">T_SeguroAnual!$F$17</definedName>
    <definedName name="Tasa.Por.Periodo" localSheetId="10">T_SoloAuto!$F$17</definedName>
    <definedName name="Tasa.Por.Periodo" localSheetId="12">T_VidaAnual!$F$17</definedName>
    <definedName name="Tasa.Por.Periodo" localSheetId="11">T_VidaMulti!$F$17</definedName>
    <definedName name="Tasa_Reducida?">Calculos!$P$18</definedName>
    <definedName name="TasaAUsar">Calculos!#REF!</definedName>
    <definedName name="TasaCondicion1Nuevos">Calculos!#REF!</definedName>
    <definedName name="TasaCondicion1Seminuevos">Calculos!#REF!</definedName>
    <definedName name="TasaCondicion2Nuevos">Calculos!#REF!</definedName>
    <definedName name="TasaInteres">Calculos!$F$137</definedName>
    <definedName name="TIA.Tasa_Interés_Anual">Calculos!$S$21</definedName>
    <definedName name="Tipo_Persona.Descripción">Calculos!$F$98</definedName>
    <definedName name="TipoCliente_OffsetTasa">Calculos!#REF!</definedName>
    <definedName name="TipoCliente_UmbralEnganche">Calculos!#REF!</definedName>
    <definedName name="TipoClienteComisionPorApertura">Calculos!#REF!</definedName>
    <definedName name="TipoClienteEstandar">C.TipoCliente!#REF!</definedName>
    <definedName name="TipoClienteRecurrente">C.TipoCliente!#REF!</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TTAR.Id">C.TipoCliente!#REF!</definedName>
    <definedName name="UltimaCelda" localSheetId="2">Captura!$E$202</definedName>
    <definedName name="UltimaCelda" localSheetId="3">TablaCliente!$J$86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F19" i="9"/>
  <c r="E19"/>
  <c r="B15"/>
  <c r="B14"/>
  <c r="B6"/>
  <c r="B5"/>
  <c r="D20"/>
  <c r="D21"/>
  <c r="AH21" i="48" s="1"/>
  <c r="D22" i="9"/>
  <c r="D23"/>
  <c r="AH23" i="54" s="1"/>
  <c r="D24" i="9"/>
  <c r="AH24" i="49" s="1"/>
  <c r="D25" i="9"/>
  <c r="AH25" i="48" s="1"/>
  <c r="D26" i="9"/>
  <c r="D27"/>
  <c r="AH27" i="49" s="1"/>
  <c r="D28" i="9"/>
  <c r="AH28" i="49" s="1"/>
  <c r="D29" i="9"/>
  <c r="AH29" i="49" s="1"/>
  <c r="D30" i="9"/>
  <c r="D31"/>
  <c r="AH31" i="48" s="1"/>
  <c r="D32" i="9"/>
  <c r="D33"/>
  <c r="AH33" i="54" s="1"/>
  <c r="D34" i="9"/>
  <c r="D35"/>
  <c r="D36"/>
  <c r="AH36" i="49" s="1"/>
  <c r="D37" i="9"/>
  <c r="AH37" i="54" s="1"/>
  <c r="D38" i="9"/>
  <c r="D39"/>
  <c r="D40"/>
  <c r="AH40" i="54" s="1"/>
  <c r="D41" i="9"/>
  <c r="AH41" i="49" s="1"/>
  <c r="D42" i="9"/>
  <c r="D43"/>
  <c r="AH43" i="48" s="1"/>
  <c r="D44" i="9"/>
  <c r="AH44" i="48" s="1"/>
  <c r="D45" i="9"/>
  <c r="AH45" i="48" s="1"/>
  <c r="D46" i="9"/>
  <c r="D47"/>
  <c r="D48"/>
  <c r="AH48" i="49" s="1"/>
  <c r="D49" i="9"/>
  <c r="AH49" i="49" s="1"/>
  <c r="D50" i="9"/>
  <c r="D51"/>
  <c r="D52"/>
  <c r="AH52" i="49" s="1"/>
  <c r="D53" i="9"/>
  <c r="AH53" i="54" s="1"/>
  <c r="D54" i="9"/>
  <c r="D55"/>
  <c r="D56"/>
  <c r="AH56" i="48" s="1"/>
  <c r="D57" i="9"/>
  <c r="AH57" i="54" s="1"/>
  <c r="D58" i="9"/>
  <c r="D59"/>
  <c r="AH59" i="54" s="1"/>
  <c r="D60" i="9"/>
  <c r="AH60" i="49" s="1"/>
  <c r="D61" i="9"/>
  <c r="AH61" i="48" s="1"/>
  <c r="D62" i="9"/>
  <c r="D63"/>
  <c r="D64"/>
  <c r="AH64" i="48" s="1"/>
  <c r="D65" i="9"/>
  <c r="AH65" i="54" s="1"/>
  <c r="D66" i="9"/>
  <c r="D67"/>
  <c r="AH67" i="49" s="1"/>
  <c r="D68" i="9"/>
  <c r="AH68" i="49" s="1"/>
  <c r="D69" i="9"/>
  <c r="AH69" i="49" s="1"/>
  <c r="D70" i="9"/>
  <c r="AH70" i="54" s="1"/>
  <c r="D71" i="9"/>
  <c r="AH71" i="48" s="1"/>
  <c r="D72" i="9"/>
  <c r="AH72" i="54" s="1"/>
  <c r="D73" i="9"/>
  <c r="AH73" i="54" s="1"/>
  <c r="D74" i="9"/>
  <c r="AH74" i="48" s="1"/>
  <c r="D75" i="9"/>
  <c r="AH75" i="49" s="1"/>
  <c r="D76" i="9"/>
  <c r="AH76" i="54" s="1"/>
  <c r="D77" i="9"/>
  <c r="AH77" i="49" s="1"/>
  <c r="D78" i="9"/>
  <c r="AH78" i="49" s="1"/>
  <c r="D79" i="9"/>
  <c r="AH79" i="48" s="1"/>
  <c r="Q24" i="1"/>
  <c r="P24"/>
  <c r="O24"/>
  <c r="O6"/>
  <c r="P6" s="1"/>
  <c r="O9"/>
  <c r="P9" s="1"/>
  <c r="C3" i="27"/>
  <c r="B4" i="76"/>
  <c r="F121" i="1"/>
  <c r="F122" s="1"/>
  <c r="D14" i="27"/>
  <c r="F23" i="1"/>
  <c r="C10" i="5"/>
  <c r="H9" i="28"/>
  <c r="C9" i="29"/>
  <c r="C10"/>
  <c r="C8"/>
  <c r="C36" i="27"/>
  <c r="K18"/>
  <c r="H59" i="3"/>
  <c r="H60"/>
  <c r="H58"/>
  <c r="I58" s="1"/>
  <c r="H57"/>
  <c r="I57" s="1"/>
  <c r="H56"/>
  <c r="I56" s="1"/>
  <c r="C32"/>
  <c r="C31"/>
  <c r="A14" i="1"/>
  <c r="L13" i="27"/>
  <c r="L14" s="1"/>
  <c r="A28" i="1"/>
  <c r="E38" i="4"/>
  <c r="B5" i="5"/>
  <c r="E5" s="1"/>
  <c r="F46" i="1"/>
  <c r="S20" i="53"/>
  <c r="S21"/>
  <c r="AH21" s="1"/>
  <c r="S22"/>
  <c r="AH22" s="1"/>
  <c r="S23"/>
  <c r="AH23" s="1"/>
  <c r="S24"/>
  <c r="AH24" s="1"/>
  <c r="S25"/>
  <c r="AH25" s="1"/>
  <c r="S26"/>
  <c r="AH26" s="1"/>
  <c r="S27"/>
  <c r="AH27" s="1"/>
  <c r="S28"/>
  <c r="AH28" s="1"/>
  <c r="C71" i="7"/>
  <c r="C70"/>
  <c r="A18" i="1"/>
  <c r="C7" i="7"/>
  <c r="F12" i="1"/>
  <c r="J13" i="27" s="1"/>
  <c r="J14" s="1"/>
  <c r="H80" i="28"/>
  <c r="C15"/>
  <c r="P8" i="26"/>
  <c r="B36" i="27"/>
  <c r="H10" i="26"/>
  <c r="C18" i="54"/>
  <c r="C24"/>
  <c r="C25"/>
  <c r="C31" s="1"/>
  <c r="C27"/>
  <c r="C54" i="7"/>
  <c r="C53"/>
  <c r="C17" i="1"/>
  <c r="F52" i="7" s="1"/>
  <c r="B40" i="27"/>
  <c r="B39"/>
  <c r="B38"/>
  <c r="B37"/>
  <c r="C37"/>
  <c r="C38"/>
  <c r="C39"/>
  <c r="C40"/>
  <c r="S29" i="53"/>
  <c r="AH29" s="1"/>
  <c r="A11" i="1"/>
  <c r="C17" i="53"/>
  <c r="C24"/>
  <c r="F21" s="1"/>
  <c r="F41" s="1"/>
  <c r="C25"/>
  <c r="F27" s="1"/>
  <c r="F36" s="1"/>
  <c r="C26"/>
  <c r="F43" s="1"/>
  <c r="C18" i="52"/>
  <c r="BC54" s="1"/>
  <c r="C24"/>
  <c r="C25"/>
  <c r="C35" s="1"/>
  <c r="C28"/>
  <c r="C29"/>
  <c r="C18" i="51"/>
  <c r="BC70" s="1"/>
  <c r="C24"/>
  <c r="C25"/>
  <c r="C35" s="1"/>
  <c r="C28"/>
  <c r="C29"/>
  <c r="C18" i="49"/>
  <c r="C24"/>
  <c r="C25"/>
  <c r="C31" s="1"/>
  <c r="C32" s="1"/>
  <c r="C26"/>
  <c r="C27"/>
  <c r="C18" i="48"/>
  <c r="C24"/>
  <c r="C25"/>
  <c r="C31" s="1"/>
  <c r="C32" s="1"/>
  <c r="C26"/>
  <c r="C27"/>
  <c r="K13" i="31"/>
  <c r="C22" i="53" s="1"/>
  <c r="B14" i="31"/>
  <c r="C23" i="51" s="1"/>
  <c r="H14" i="31"/>
  <c r="C23" i="52" s="1"/>
  <c r="H33" i="31"/>
  <c r="C23" i="54" s="1"/>
  <c r="E33" i="31"/>
  <c r="C23" i="49" s="1"/>
  <c r="B33" i="31"/>
  <c r="C23" i="48" s="1"/>
  <c r="H39" i="7"/>
  <c r="H40"/>
  <c r="H41"/>
  <c r="H42"/>
  <c r="H43"/>
  <c r="H44"/>
  <c r="H45"/>
  <c r="H46"/>
  <c r="H47"/>
  <c r="H48"/>
  <c r="A22" i="1"/>
  <c r="D60" i="3"/>
  <c r="E60" s="1"/>
  <c r="D59"/>
  <c r="E59" s="1"/>
  <c r="D58"/>
  <c r="E58"/>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c r="F114" s="1"/>
  <c r="C27" i="3"/>
  <c r="C37"/>
  <c r="C18" i="1" s="1"/>
  <c r="E70" i="7" s="1"/>
  <c r="C38" i="3"/>
  <c r="C42"/>
  <c r="C43"/>
  <c r="C21" i="1"/>
  <c r="C44" i="3"/>
  <c r="A21" i="1"/>
  <c r="S31" i="53"/>
  <c r="AH31" s="1"/>
  <c r="S33"/>
  <c r="AH33" s="1"/>
  <c r="S35"/>
  <c r="AH35" s="1"/>
  <c r="S37"/>
  <c r="AH37" s="1"/>
  <c r="S39"/>
  <c r="AH39" s="1"/>
  <c r="S41"/>
  <c r="AH41" s="1"/>
  <c r="S43"/>
  <c r="AH43" s="1"/>
  <c r="S45"/>
  <c r="AH45" s="1"/>
  <c r="S47"/>
  <c r="AH47" s="1"/>
  <c r="S49"/>
  <c r="AH49" s="1"/>
  <c r="S51"/>
  <c r="AH51" s="1"/>
  <c r="S53"/>
  <c r="AH53" s="1"/>
  <c r="S55"/>
  <c r="AH55" s="1"/>
  <c r="S57"/>
  <c r="AH57" s="1"/>
  <c r="S59"/>
  <c r="AH59" s="1"/>
  <c r="S61"/>
  <c r="AH61" s="1"/>
  <c r="S63"/>
  <c r="AH63" s="1"/>
  <c r="S65"/>
  <c r="AH65" s="1"/>
  <c r="S67"/>
  <c r="AH67" s="1"/>
  <c r="S69"/>
  <c r="AH69" s="1"/>
  <c r="S71"/>
  <c r="AH71" s="1"/>
  <c r="S73"/>
  <c r="AH73" s="1"/>
  <c r="S75"/>
  <c r="AH75" s="1"/>
  <c r="S77"/>
  <c r="AH77" s="1"/>
  <c r="S79"/>
  <c r="AH79" s="1"/>
  <c r="S30"/>
  <c r="AH30" s="1"/>
  <c r="S32"/>
  <c r="AH32" s="1"/>
  <c r="S34"/>
  <c r="AH34" s="1"/>
  <c r="S36"/>
  <c r="AH36" s="1"/>
  <c r="S38"/>
  <c r="AH38" s="1"/>
  <c r="S40"/>
  <c r="AH40" s="1"/>
  <c r="S42"/>
  <c r="AH42" s="1"/>
  <c r="S44"/>
  <c r="AH44" s="1"/>
  <c r="S46"/>
  <c r="AH46" s="1"/>
  <c r="S48"/>
  <c r="AH48" s="1"/>
  <c r="S50"/>
  <c r="AH50" s="1"/>
  <c r="S52"/>
  <c r="AH52" s="1"/>
  <c r="S54"/>
  <c r="AH54" s="1"/>
  <c r="S56"/>
  <c r="AH56" s="1"/>
  <c r="S58"/>
  <c r="AH58" s="1"/>
  <c r="S60"/>
  <c r="AH60" s="1"/>
  <c r="S62"/>
  <c r="AH62" s="1"/>
  <c r="S64"/>
  <c r="AH64" s="1"/>
  <c r="S66"/>
  <c r="AH66" s="1"/>
  <c r="S68"/>
  <c r="AH68" s="1"/>
  <c r="S70"/>
  <c r="AH70" s="1"/>
  <c r="S72"/>
  <c r="AH72" s="1"/>
  <c r="S74"/>
  <c r="AH74" s="1"/>
  <c r="S76"/>
  <c r="AH76" s="1"/>
  <c r="S78"/>
  <c r="AH78" s="1"/>
  <c r="B4" i="9"/>
  <c r="B13" s="1"/>
  <c r="A23"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BC27" i="51"/>
  <c r="F58" i="3"/>
  <c r="G58" s="1"/>
  <c r="BC34" i="51"/>
  <c r="C15" i="1"/>
  <c r="E37" i="3" s="1"/>
  <c r="BC76" i="51"/>
  <c r="E57" i="3"/>
  <c r="BC42" i="51"/>
  <c r="BC77"/>
  <c r="BC72"/>
  <c r="BC29" i="52"/>
  <c r="BC23" i="51"/>
  <c r="BC68"/>
  <c r="BC50"/>
  <c r="BC24"/>
  <c r="BC47"/>
  <c r="BC40"/>
  <c r="BC49"/>
  <c r="BC65"/>
  <c r="BC78"/>
  <c r="BC33"/>
  <c r="BC59"/>
  <c r="F59" i="3"/>
  <c r="H79" i="1"/>
  <c r="G26"/>
  <c r="H26"/>
  <c r="C33" i="54"/>
  <c r="G75" i="1"/>
  <c r="G79"/>
  <c r="F51"/>
  <c r="F35"/>
  <c r="F52"/>
  <c r="F140"/>
  <c r="G82"/>
  <c r="F116"/>
  <c r="F54"/>
  <c r="F36"/>
  <c r="C33" i="51"/>
  <c r="C33" i="48"/>
  <c r="F50" i="1"/>
  <c r="F37"/>
  <c r="F59"/>
  <c r="G77"/>
  <c r="F115"/>
  <c r="H40"/>
  <c r="G84"/>
  <c r="F100"/>
  <c r="F141"/>
  <c r="F98"/>
  <c r="G81"/>
  <c r="C33" i="52"/>
  <c r="C33" i="49"/>
  <c r="G40" i="1"/>
  <c r="F99"/>
  <c r="B37"/>
  <c r="AH33" i="49" l="1"/>
  <c r="AH49" i="48"/>
  <c r="AH73" i="49"/>
  <c r="AH33" i="48"/>
  <c r="AH69" i="54"/>
  <c r="AH53" i="49"/>
  <c r="AH40" i="48"/>
  <c r="AH31" i="54"/>
  <c r="AH60" i="48"/>
  <c r="AH31" i="49"/>
  <c r="AH40"/>
  <c r="AH68" i="48"/>
  <c r="AH70" i="49"/>
  <c r="AH71" i="54"/>
  <c r="AH28"/>
  <c r="AH21"/>
  <c r="AH24" i="48"/>
  <c r="H20" i="9"/>
  <c r="AH76" i="49"/>
  <c r="AH64"/>
  <c r="AH34" i="48"/>
  <c r="AH66" i="49"/>
  <c r="AH58" i="54"/>
  <c r="AH50"/>
  <c r="AH46" i="49"/>
  <c r="AH38"/>
  <c r="AH46" i="48"/>
  <c r="AH26" i="49"/>
  <c r="AH67" i="54"/>
  <c r="AH63" i="48"/>
  <c r="AH59"/>
  <c r="AH55" i="54"/>
  <c r="AH51"/>
  <c r="AH47" i="48"/>
  <c r="AH43" i="54"/>
  <c r="AH39"/>
  <c r="AH35" i="49"/>
  <c r="AH32"/>
  <c r="AH30" i="54"/>
  <c r="AH26" i="48"/>
  <c r="AH22" i="54"/>
  <c r="AH62" i="48"/>
  <c r="AH54" i="49"/>
  <c r="AH42"/>
  <c r="AH34" i="54"/>
  <c r="AH50" i="48"/>
  <c r="AH27" i="54"/>
  <c r="AH23" i="48"/>
  <c r="AH20" i="54"/>
  <c r="Q21" i="1"/>
  <c r="O21"/>
  <c r="P12"/>
  <c r="Q9"/>
  <c r="F8"/>
  <c r="B60" s="1"/>
  <c r="F7"/>
  <c r="BC22" i="51"/>
  <c r="BC48"/>
  <c r="BC35"/>
  <c r="BC53"/>
  <c r="BC43"/>
  <c r="BC66"/>
  <c r="BC36" i="52"/>
  <c r="BC34"/>
  <c r="BC57" i="51"/>
  <c r="BC60"/>
  <c r="BC66" i="52"/>
  <c r="BC28" i="51"/>
  <c r="BC36"/>
  <c r="BC79"/>
  <c r="BC21"/>
  <c r="BC62"/>
  <c r="BC51"/>
  <c r="BC71" i="52"/>
  <c r="BC75" i="51"/>
  <c r="BC58" i="52"/>
  <c r="F53" i="1"/>
  <c r="F24" i="53"/>
  <c r="F42" s="1"/>
  <c r="AH52" i="54"/>
  <c r="AH45" i="49"/>
  <c r="AH63" i="54"/>
  <c r="AH78" i="48"/>
  <c r="AH45" i="54"/>
  <c r="AH74" i="49"/>
  <c r="AH52" i="48"/>
  <c r="AH59" i="49"/>
  <c r="AH78" i="54"/>
  <c r="AH74"/>
  <c r="AH63" i="49"/>
  <c r="AH66" i="54"/>
  <c r="AH79"/>
  <c r="AH38"/>
  <c r="AH72" i="49"/>
  <c r="AH49" i="54"/>
  <c r="AH76" i="48"/>
  <c r="AH58"/>
  <c r="AH55"/>
  <c r="AH69"/>
  <c r="AH58" i="49"/>
  <c r="AH55"/>
  <c r="AH38" i="48"/>
  <c r="AH29"/>
  <c r="AH62" i="54"/>
  <c r="AH32" i="48"/>
  <c r="AH65"/>
  <c r="AH73"/>
  <c r="AH43" i="49"/>
  <c r="AH35" i="54"/>
  <c r="AH34" i="49"/>
  <c r="AH32" i="54"/>
  <c r="AH35" i="48"/>
  <c r="AH21" i="49"/>
  <c r="AH65"/>
  <c r="F22" i="53"/>
  <c r="F40" s="1"/>
  <c r="F28"/>
  <c r="F35" s="1"/>
  <c r="F25"/>
  <c r="F38" s="1"/>
  <c r="B6" i="5"/>
  <c r="R5" s="1"/>
  <c r="Q8" i="26"/>
  <c r="P5" i="5"/>
  <c r="F26" i="53"/>
  <c r="F37" s="1"/>
  <c r="AH68" i="54"/>
  <c r="BC63" i="51"/>
  <c r="BC26"/>
  <c r="BC73"/>
  <c r="BC20"/>
  <c r="BC29"/>
  <c r="BC71"/>
  <c r="BC55"/>
  <c r="BC39"/>
  <c r="BC67"/>
  <c r="BC32"/>
  <c r="AH48" i="54"/>
  <c r="AH42" i="48"/>
  <c r="AH62" i="49"/>
  <c r="AH60" i="54"/>
  <c r="BC38" i="52"/>
  <c r="BC69" i="51"/>
  <c r="AH66" i="48"/>
  <c r="BC79" i="52"/>
  <c r="BC37" i="51"/>
  <c r="AH57" i="49"/>
  <c r="AH41" i="54"/>
  <c r="AH79" i="49"/>
  <c r="AH37"/>
  <c r="BC74" i="52"/>
  <c r="AH24" i="54"/>
  <c r="BC56" i="52"/>
  <c r="AH53" i="48"/>
  <c r="S18" i="53"/>
  <c r="BC52" i="51"/>
  <c r="BC46"/>
  <c r="BC56"/>
  <c r="BC74"/>
  <c r="BC31"/>
  <c r="BC54"/>
  <c r="BC58"/>
  <c r="BC38"/>
  <c r="BC44"/>
  <c r="BC61"/>
  <c r="BC64"/>
  <c r="AH44" i="54"/>
  <c r="BC46" i="52"/>
  <c r="AH71" i="49"/>
  <c r="BC68" i="52"/>
  <c r="BC45" i="51"/>
  <c r="AH50" i="49"/>
  <c r="BC40" i="52"/>
  <c r="AH26" i="54"/>
  <c r="BC24" i="52"/>
  <c r="BC41" i="51"/>
  <c r="AH28" i="48"/>
  <c r="BC25" i="51"/>
  <c r="AH47" i="49"/>
  <c r="AH41" i="48"/>
  <c r="BC30" i="51"/>
  <c r="AH47" i="54"/>
  <c r="G25" i="1"/>
  <c r="H25"/>
  <c r="D32" i="27"/>
  <c r="C12" i="28"/>
  <c r="AH46" i="54"/>
  <c r="AH56" i="49"/>
  <c r="AH61"/>
  <c r="BC57" i="52"/>
  <c r="BC41"/>
  <c r="BC27"/>
  <c r="BC25"/>
  <c r="BC28"/>
  <c r="AH29" i="54"/>
  <c r="AH77" i="48"/>
  <c r="BC76" i="52"/>
  <c r="AH61" i="54"/>
  <c r="AH77"/>
  <c r="AH67" i="48"/>
  <c r="AH54"/>
  <c r="AH44" i="49"/>
  <c r="AH39"/>
  <c r="AH27" i="48"/>
  <c r="AH25" i="54"/>
  <c r="AH20" i="53"/>
  <c r="AH20" i="49"/>
  <c r="H150" i="1"/>
  <c r="B64" i="7" s="1"/>
  <c r="F23" i="53"/>
  <c r="F39" s="1"/>
  <c r="AH22" i="48"/>
  <c r="AH56" i="54"/>
  <c r="AH36"/>
  <c r="AH70" i="48"/>
  <c r="AH23" i="49"/>
  <c r="AH72" i="48"/>
  <c r="AH42" i="54"/>
  <c r="AH25" i="49"/>
  <c r="AH39" i="48"/>
  <c r="AH64" i="54"/>
  <c r="BC63" i="52"/>
  <c r="BC53"/>
  <c r="BC42"/>
  <c r="BC44"/>
  <c r="AH75" i="48"/>
  <c r="BC70" i="52"/>
  <c r="BC43"/>
  <c r="BC67"/>
  <c r="BC60"/>
  <c r="BC35"/>
  <c r="BC65"/>
  <c r="AH51" i="48"/>
  <c r="BC20" i="52"/>
  <c r="BC30"/>
  <c r="AH30" i="48"/>
  <c r="AH36"/>
  <c r="AH57"/>
  <c r="BC37" i="52"/>
  <c r="BC26"/>
  <c r="AH20" i="48"/>
  <c r="AH75" i="54"/>
  <c r="BC51" i="52"/>
  <c r="BC69"/>
  <c r="AH51" i="49"/>
  <c r="AH37" i="48"/>
  <c r="AH30" i="49"/>
  <c r="AH48" i="48"/>
  <c r="BC75" i="52"/>
  <c r="BC64"/>
  <c r="BC77"/>
  <c r="BC52"/>
  <c r="BC22"/>
  <c r="BC73"/>
  <c r="BC31"/>
  <c r="BC23"/>
  <c r="BC33"/>
  <c r="F97" i="1"/>
  <c r="AH22" i="49"/>
  <c r="BC61" i="52"/>
  <c r="BC55"/>
  <c r="BC62"/>
  <c r="BC48"/>
  <c r="BC50"/>
  <c r="AH54" i="54"/>
  <c r="BC32" i="52"/>
  <c r="BC49"/>
  <c r="BC72"/>
  <c r="BC39"/>
  <c r="BC45"/>
  <c r="BC78"/>
  <c r="BC47"/>
  <c r="BC59"/>
  <c r="BC21"/>
  <c r="R8" i="26"/>
  <c r="C52" i="3"/>
  <c r="B42" i="1" s="1"/>
  <c r="F38" i="49"/>
  <c r="F38" i="54"/>
  <c r="F117" i="1"/>
  <c r="F118" s="1"/>
  <c r="G72"/>
  <c r="H72"/>
  <c r="B40"/>
  <c r="B54"/>
  <c r="B51"/>
  <c r="H29" i="31"/>
  <c r="C19" i="54" s="1"/>
  <c r="F20" s="1"/>
  <c r="B10" i="31"/>
  <c r="C19" i="51" s="1"/>
  <c r="K9" i="31"/>
  <c r="C18" i="53" s="1"/>
  <c r="K28" i="31"/>
  <c r="C18" i="55" s="1"/>
  <c r="F17" s="1"/>
  <c r="E29" i="31"/>
  <c r="C19" i="49" s="1"/>
  <c r="B29" i="31"/>
  <c r="C19" i="48" s="1"/>
  <c r="H10" i="31"/>
  <c r="C19" i="52" s="1"/>
  <c r="F20" s="1"/>
  <c r="H9" i="26"/>
  <c r="F155" i="1"/>
  <c r="D16" i="28" s="1"/>
  <c r="F58" i="1"/>
  <c r="F146"/>
  <c r="F142"/>
  <c r="F42" i="52"/>
  <c r="G80" i="1"/>
  <c r="F80" s="1"/>
  <c r="F42" i="51"/>
  <c r="F38" i="48"/>
  <c r="F49" i="1"/>
  <c r="G151"/>
  <c r="B18" i="31"/>
  <c r="C27" i="51" s="1"/>
  <c r="K14" i="31"/>
  <c r="C23" i="53" s="1"/>
  <c r="AJ20" s="1" a="1"/>
  <c r="H18" i="31"/>
  <c r="C27" i="52" s="1"/>
  <c r="D7" i="28"/>
  <c r="H21" i="9"/>
  <c r="F61" i="1"/>
  <c r="F62"/>
  <c r="F55"/>
  <c r="E21" i="9" l="1"/>
  <c r="B21" i="28" s="1"/>
  <c r="I21" i="9"/>
  <c r="F21" s="1"/>
  <c r="E20"/>
  <c r="B20" i="28" s="1"/>
  <c r="I20" i="9"/>
  <c r="F20" s="1"/>
  <c r="O12" i="1"/>
  <c r="Q12" s="1"/>
  <c r="O15"/>
  <c r="P15" s="1"/>
  <c r="P18" s="1"/>
  <c r="R21" s="1"/>
  <c r="P21"/>
  <c r="B61"/>
  <c r="F9"/>
  <c r="J6" i="27" s="1"/>
  <c r="B71" i="1"/>
  <c r="B74" s="1"/>
  <c r="B77"/>
  <c r="B33"/>
  <c r="B97"/>
  <c r="B100" s="1"/>
  <c r="C2" i="27"/>
  <c r="B81" i="1"/>
  <c r="I153"/>
  <c r="B44" i="27" s="1"/>
  <c r="B45"/>
  <c r="I154" i="1"/>
  <c r="A83" i="28" s="1"/>
  <c r="C12" i="1"/>
  <c r="F15" s="1"/>
  <c r="P6" i="5"/>
  <c r="E6"/>
  <c r="B7"/>
  <c r="D7" s="1"/>
  <c r="I22" i="9"/>
  <c r="F22" s="1"/>
  <c r="G88" i="1"/>
  <c r="G87" s="1"/>
  <c r="AE65" i="52"/>
  <c r="AF65" s="1"/>
  <c r="AH25"/>
  <c r="AH36"/>
  <c r="AE57"/>
  <c r="AF57" s="1"/>
  <c r="AH55"/>
  <c r="AE62"/>
  <c r="AE28"/>
  <c r="AF28" s="1"/>
  <c r="AE26"/>
  <c r="AF26" s="1"/>
  <c r="AH70"/>
  <c r="AH68"/>
  <c r="AH37"/>
  <c r="AE52"/>
  <c r="AF52" s="1"/>
  <c r="AE41"/>
  <c r="AH72"/>
  <c r="AH24"/>
  <c r="AE71"/>
  <c r="AF71" s="1"/>
  <c r="AE76"/>
  <c r="AF76" s="1"/>
  <c r="AE30"/>
  <c r="AE20"/>
  <c r="AF20" s="1"/>
  <c r="AE70"/>
  <c r="AF70" s="1"/>
  <c r="AH20"/>
  <c r="AH27"/>
  <c r="AE49"/>
  <c r="AE66"/>
  <c r="AF66" s="1"/>
  <c r="AH66"/>
  <c r="AH62"/>
  <c r="AE23"/>
  <c r="AF23" s="1"/>
  <c r="AE36"/>
  <c r="AF36" s="1"/>
  <c r="AE77"/>
  <c r="AF77" s="1"/>
  <c r="AH51"/>
  <c r="AH75"/>
  <c r="AE42"/>
  <c r="AF42" s="1"/>
  <c r="AH71"/>
  <c r="AH54"/>
  <c r="AE63"/>
  <c r="AF63" s="1"/>
  <c r="AE69"/>
  <c r="AF69" s="1"/>
  <c r="AE55"/>
  <c r="AF55" s="1"/>
  <c r="AE59"/>
  <c r="AF59" s="1"/>
  <c r="AE61"/>
  <c r="AH50"/>
  <c r="AE29"/>
  <c r="AF29" s="1"/>
  <c r="AE58"/>
  <c r="AE31"/>
  <c r="AF31" s="1"/>
  <c r="AH76"/>
  <c r="AH61"/>
  <c r="AH47"/>
  <c r="AE24"/>
  <c r="AE68"/>
  <c r="AF68" s="1"/>
  <c r="AE50"/>
  <c r="AH40"/>
  <c r="AH45"/>
  <c r="AH32"/>
  <c r="AE44"/>
  <c r="AE38"/>
  <c r="AF38" s="1"/>
  <c r="AH43"/>
  <c r="AE51"/>
  <c r="AF51" s="1"/>
  <c r="AH33"/>
  <c r="AH35"/>
  <c r="AE56"/>
  <c r="AH60"/>
  <c r="AH28"/>
  <c r="AE43"/>
  <c r="AF43" s="1"/>
  <c r="AE73"/>
  <c r="AF73" s="1"/>
  <c r="AH48"/>
  <c r="AH46"/>
  <c r="AH53"/>
  <c r="AH57"/>
  <c r="AH23"/>
  <c r="AH69"/>
  <c r="AH78"/>
  <c r="AH30"/>
  <c r="AH59"/>
  <c r="AE67"/>
  <c r="AH29"/>
  <c r="AE22"/>
  <c r="AE39"/>
  <c r="AE45"/>
  <c r="AF45" s="1"/>
  <c r="AH39"/>
  <c r="AE78"/>
  <c r="AE64"/>
  <c r="AH64"/>
  <c r="AH79"/>
  <c r="AE74"/>
  <c r="AE35"/>
  <c r="AH58"/>
  <c r="AE37"/>
  <c r="AF37" s="1"/>
  <c r="AH26"/>
  <c r="AH41"/>
  <c r="AE60"/>
  <c r="AF60" s="1"/>
  <c r="AH21"/>
  <c r="AH34"/>
  <c r="AE33"/>
  <c r="AH63"/>
  <c r="AE47"/>
  <c r="AH56"/>
  <c r="AH67"/>
  <c r="AH22"/>
  <c r="AE54"/>
  <c r="AF54" s="1"/>
  <c r="AH73"/>
  <c r="AE21"/>
  <c r="AF21" s="1"/>
  <c r="AH49"/>
  <c r="AH38"/>
  <c r="AH52"/>
  <c r="AE27"/>
  <c r="AE75"/>
  <c r="AF75" s="1"/>
  <c r="AH77"/>
  <c r="AE32"/>
  <c r="AF32" s="1"/>
  <c r="AE34"/>
  <c r="AF34" s="1"/>
  <c r="AE25"/>
  <c r="AF25" s="1"/>
  <c r="AE79"/>
  <c r="AF79" s="1"/>
  <c r="AH31"/>
  <c r="AE53"/>
  <c r="AE72"/>
  <c r="AH44"/>
  <c r="AH42"/>
  <c r="AE46"/>
  <c r="AF46" s="1"/>
  <c r="AH74"/>
  <c r="AH65"/>
  <c r="AE40"/>
  <c r="AE48"/>
  <c r="H30" i="31"/>
  <c r="C20" i="54" s="1"/>
  <c r="B30" i="31"/>
  <c r="C20" i="48" s="1"/>
  <c r="F20" s="1"/>
  <c r="K10" i="31"/>
  <c r="C19" i="53" s="1"/>
  <c r="E30" i="31"/>
  <c r="C20" i="49" s="1"/>
  <c r="F20" s="1"/>
  <c r="B11" i="31"/>
  <c r="C20" i="51" s="1"/>
  <c r="K29" i="31"/>
  <c r="C19" i="55" s="1"/>
  <c r="H11" i="31"/>
  <c r="C20" i="52" s="1"/>
  <c r="H12" i="31"/>
  <c r="C21" i="52" s="1"/>
  <c r="E31" i="31"/>
  <c r="C21" i="49" s="1"/>
  <c r="H31" i="31"/>
  <c r="C21" i="54" s="1"/>
  <c r="B31" i="31"/>
  <c r="C21" i="48" s="1"/>
  <c r="B12" i="31"/>
  <c r="C21" i="51" s="1"/>
  <c r="K11" i="31"/>
  <c r="C20" i="53" s="1"/>
  <c r="AK39"/>
  <c r="V39" i="52" s="1"/>
  <c r="AK42" i="53"/>
  <c r="V42" i="52" s="1"/>
  <c r="AK28" i="53"/>
  <c r="V28" i="52" s="1"/>
  <c r="AK50" i="53"/>
  <c r="V50" i="52" s="1"/>
  <c r="AK53" i="53"/>
  <c r="V53" i="52" s="1"/>
  <c r="AK32" i="53"/>
  <c r="V32" i="52" s="1"/>
  <c r="AJ22" i="53"/>
  <c r="V22" i="51" s="1"/>
  <c r="AJ28" i="53"/>
  <c r="V28" i="51" s="1"/>
  <c r="AJ32" i="53"/>
  <c r="V32" i="51" s="1"/>
  <c r="AK31" i="53"/>
  <c r="V31" i="52" s="1"/>
  <c r="AK41" i="53"/>
  <c r="V41" i="52" s="1"/>
  <c r="AK24" i="53"/>
  <c r="V24" i="52" s="1"/>
  <c r="AK67" i="53"/>
  <c r="V67" i="52" s="1"/>
  <c r="AK71" i="53"/>
  <c r="V71" i="52" s="1"/>
  <c r="AK61" i="53"/>
  <c r="V61" i="52" s="1"/>
  <c r="AJ31" i="53"/>
  <c r="V31" i="51" s="1"/>
  <c r="AJ42" i="53"/>
  <c r="V42" i="51" s="1"/>
  <c r="AJ47" i="53"/>
  <c r="V47" i="51" s="1"/>
  <c r="AJ53" i="53"/>
  <c r="V53" i="51" s="1"/>
  <c r="AJ66" i="53"/>
  <c r="V66" i="51" s="1"/>
  <c r="AJ70" i="53"/>
  <c r="V70" i="51" s="1"/>
  <c r="AJ74" i="53"/>
  <c r="V74" i="51" s="1"/>
  <c r="AJ76" i="53"/>
  <c r="V76" i="51" s="1"/>
  <c r="AK26" i="53"/>
  <c r="V26" i="52" s="1"/>
  <c r="AK20" i="53"/>
  <c r="V20" i="52" s="1"/>
  <c r="AK78" i="53"/>
  <c r="V78" i="52" s="1"/>
  <c r="AK48" i="53"/>
  <c r="V48" i="52" s="1"/>
  <c r="AK40" i="53"/>
  <c r="V40" i="52" s="1"/>
  <c r="AJ23" i="53"/>
  <c r="V23" i="51" s="1"/>
  <c r="AK33" i="53"/>
  <c r="V33" i="52" s="1"/>
  <c r="AJ30" i="53"/>
  <c r="V30" i="51" s="1"/>
  <c r="AK46" i="53"/>
  <c r="V46" i="52" s="1"/>
  <c r="AK29" i="53"/>
  <c r="V29" i="52" s="1"/>
  <c r="AK79" i="53"/>
  <c r="V79" i="52" s="1"/>
  <c r="AK35" i="53"/>
  <c r="V35" i="52" s="1"/>
  <c r="AK68" i="53"/>
  <c r="V68" i="52" s="1"/>
  <c r="AK72" i="53"/>
  <c r="V72" i="52" s="1"/>
  <c r="AJ27" i="53"/>
  <c r="V27" i="51" s="1"/>
  <c r="AJ29" i="53"/>
  <c r="V29" i="51" s="1"/>
  <c r="AK65" i="53"/>
  <c r="V65" i="52" s="1"/>
  <c r="AK51" i="53"/>
  <c r="V51" i="52" s="1"/>
  <c r="AK59" i="53"/>
  <c r="V59" i="52" s="1"/>
  <c r="AK44" i="53"/>
  <c r="V44" i="52" s="1"/>
  <c r="AK52" i="53"/>
  <c r="V52" i="52" s="1"/>
  <c r="AK73" i="53"/>
  <c r="V73" i="52" s="1"/>
  <c r="AK62" i="53"/>
  <c r="V62" i="52" s="1"/>
  <c r="AJ41" i="53"/>
  <c r="V41" i="51" s="1"/>
  <c r="AJ46" i="53"/>
  <c r="V46" i="51" s="1"/>
  <c r="AJ49" i="53"/>
  <c r="V49" i="51" s="1"/>
  <c r="AJ65" i="53"/>
  <c r="V65" i="51" s="1"/>
  <c r="AJ69" i="53"/>
  <c r="V69" i="51" s="1"/>
  <c r="AJ72" i="53"/>
  <c r="V72" i="51" s="1"/>
  <c r="AJ75" i="53"/>
  <c r="V75" i="51" s="1"/>
  <c r="AK22" i="53"/>
  <c r="V22" i="52" s="1"/>
  <c r="AK69" i="53"/>
  <c r="V69" i="52" s="1"/>
  <c r="AK66" i="53"/>
  <c r="V66" i="52" s="1"/>
  <c r="AK27" i="53"/>
  <c r="V27" i="52" s="1"/>
  <c r="AJ20" i="53"/>
  <c r="V20" i="51" s="1"/>
  <c r="AJ21" i="53"/>
  <c r="V21" i="51" s="1"/>
  <c r="AJ26" i="53"/>
  <c r="V26" i="51" s="1"/>
  <c r="AJ25" i="53"/>
  <c r="V25" i="51" s="1"/>
  <c r="AJ34" i="53"/>
  <c r="AK47"/>
  <c r="V47" i="52" s="1"/>
  <c r="AK25" i="53"/>
  <c r="V25" i="52" s="1"/>
  <c r="AK76" i="53"/>
  <c r="V76" i="52" s="1"/>
  <c r="AK77" i="53"/>
  <c r="V77" i="52" s="1"/>
  <c r="AK49" i="53"/>
  <c r="V49" i="52" s="1"/>
  <c r="AK37" i="53"/>
  <c r="V37" i="52" s="1"/>
  <c r="AJ38" i="53"/>
  <c r="V38" i="51" s="1"/>
  <c r="AJ33" i="53"/>
  <c r="V33" i="51" s="1"/>
  <c r="AJ73" i="53"/>
  <c r="V73" i="51" s="1"/>
  <c r="AJ36" i="53"/>
  <c r="V36" i="51" s="1"/>
  <c r="AJ59" i="53"/>
  <c r="V59" i="51" s="1"/>
  <c r="AK56" i="53"/>
  <c r="V56" i="52" s="1"/>
  <c r="AJ50" i="53"/>
  <c r="V50" i="51" s="1"/>
  <c r="AK21" i="53"/>
  <c r="V21" i="52" s="1"/>
  <c r="AJ71" i="53"/>
  <c r="V71" i="51" s="1"/>
  <c r="AK57" i="53"/>
  <c r="V57" i="52" s="1"/>
  <c r="AK54" i="53"/>
  <c r="V54" i="52" s="1"/>
  <c r="AK43" i="53"/>
  <c r="V43" i="52" s="1"/>
  <c r="AK63" i="53"/>
  <c r="V63" i="52" s="1"/>
  <c r="AK30" i="53"/>
  <c r="V30" i="52" s="1"/>
  <c r="AJ24" i="53"/>
  <c r="V24" i="51" s="1"/>
  <c r="AJ54" i="53"/>
  <c r="V54" i="51" s="1"/>
  <c r="AJ37" i="53"/>
  <c r="V37" i="51" s="1"/>
  <c r="AJ56" i="53"/>
  <c r="V56" i="51" s="1"/>
  <c r="AJ78" i="53"/>
  <c r="V78" i="51" s="1"/>
  <c r="AJ45" i="53"/>
  <c r="V45" i="51" s="1"/>
  <c r="AJ68" i="53"/>
  <c r="V68" i="51" s="1"/>
  <c r="AJ60" i="53"/>
  <c r="V60" i="51" s="1"/>
  <c r="AK23" i="53"/>
  <c r="V23" i="52" s="1"/>
  <c r="AK75" i="53"/>
  <c r="V75" i="52" s="1"/>
  <c r="AK58" i="53"/>
  <c r="V58" i="52" s="1"/>
  <c r="AJ52" i="53"/>
  <c r="V52" i="51" s="1"/>
  <c r="AJ48" i="53"/>
  <c r="V48" i="51" s="1"/>
  <c r="AJ61" i="53"/>
  <c r="V61" i="51" s="1"/>
  <c r="AJ79" i="53"/>
  <c r="V79" i="51" s="1"/>
  <c r="AK55" i="53"/>
  <c r="V55" i="52" s="1"/>
  <c r="AK74" i="53"/>
  <c r="V74" i="52" s="1"/>
  <c r="AK38" i="53"/>
  <c r="V38" i="52" s="1"/>
  <c r="AJ40" i="53"/>
  <c r="V40" i="51" s="1"/>
  <c r="AJ44" i="53"/>
  <c r="V44" i="51" s="1"/>
  <c r="AJ58" i="53"/>
  <c r="V58" i="51" s="1"/>
  <c r="AJ64" i="53"/>
  <c r="V64" i="51" s="1"/>
  <c r="AK36" i="53"/>
  <c r="V36" i="52" s="1"/>
  <c r="AK34" i="53"/>
  <c r="AJ43"/>
  <c r="V43" i="51" s="1"/>
  <c r="AJ63" i="53"/>
  <c r="V63" i="51" s="1"/>
  <c r="AJ67" i="53"/>
  <c r="V67" i="51" s="1"/>
  <c r="AK70" i="53"/>
  <c r="V70" i="52" s="1"/>
  <c r="AJ35" i="53"/>
  <c r="V35" i="51" s="1"/>
  <c r="AJ51" i="53"/>
  <c r="V51" i="51" s="1"/>
  <c r="AK45" i="53"/>
  <c r="V45" i="52" s="1"/>
  <c r="AJ55" i="53"/>
  <c r="V55" i="51" s="1"/>
  <c r="AJ77" i="53"/>
  <c r="V77" i="51" s="1"/>
  <c r="AJ57" i="53"/>
  <c r="V57" i="51" s="1"/>
  <c r="AJ62" i="53"/>
  <c r="V62" i="51" s="1"/>
  <c r="AJ39" i="53"/>
  <c r="V39" i="51" s="1"/>
  <c r="AK60" i="53"/>
  <c r="V60" i="52" s="1"/>
  <c r="AK64" i="53"/>
  <c r="V64" i="52" s="1"/>
  <c r="L65" i="55"/>
  <c r="K47"/>
  <c r="L41"/>
  <c r="K39"/>
  <c r="K68"/>
  <c r="K49"/>
  <c r="K43"/>
  <c r="L43"/>
  <c r="L61"/>
  <c r="L74"/>
  <c r="K63"/>
  <c r="K78"/>
  <c r="L63"/>
  <c r="L40"/>
  <c r="L53"/>
  <c r="K65"/>
  <c r="L38"/>
  <c r="K31"/>
  <c r="L29"/>
  <c r="L66"/>
  <c r="K33"/>
  <c r="L70"/>
  <c r="K40"/>
  <c r="L25"/>
  <c r="K79"/>
  <c r="K62"/>
  <c r="K75"/>
  <c r="K45"/>
  <c r="K51"/>
  <c r="K35"/>
  <c r="L77"/>
  <c r="L46"/>
  <c r="K66"/>
  <c r="K71"/>
  <c r="K69"/>
  <c r="K53"/>
  <c r="L33"/>
  <c r="K64"/>
  <c r="L50"/>
  <c r="K58"/>
  <c r="L67"/>
  <c r="K57"/>
  <c r="L27"/>
  <c r="K76"/>
  <c r="L73"/>
  <c r="K54"/>
  <c r="L79"/>
  <c r="L34"/>
  <c r="L72"/>
  <c r="L45"/>
  <c r="K52"/>
  <c r="K44"/>
  <c r="K46"/>
  <c r="K60"/>
  <c r="K70"/>
  <c r="K48"/>
  <c r="K27"/>
  <c r="K67"/>
  <c r="L62"/>
  <c r="K30"/>
  <c r="L51"/>
  <c r="L56"/>
  <c r="K25"/>
  <c r="K22"/>
  <c r="K23"/>
  <c r="K56"/>
  <c r="L37"/>
  <c r="L36"/>
  <c r="L44"/>
  <c r="L57"/>
  <c r="L59"/>
  <c r="K74"/>
  <c r="L71"/>
  <c r="L68"/>
  <c r="L26"/>
  <c r="L54"/>
  <c r="L76"/>
  <c r="L28"/>
  <c r="K32"/>
  <c r="L32"/>
  <c r="K34"/>
  <c r="K72"/>
  <c r="K28"/>
  <c r="K36"/>
  <c r="L30"/>
  <c r="L69"/>
  <c r="L47"/>
  <c r="K26"/>
  <c r="K61"/>
  <c r="K29"/>
  <c r="L58"/>
  <c r="K21"/>
  <c r="K20"/>
  <c r="L35"/>
  <c r="L22"/>
  <c r="L39"/>
  <c r="K77"/>
  <c r="L55"/>
  <c r="L42"/>
  <c r="L78"/>
  <c r="K59"/>
  <c r="K24"/>
  <c r="K38"/>
  <c r="L49"/>
  <c r="L20"/>
  <c r="L24"/>
  <c r="L75"/>
  <c r="L64"/>
  <c r="K50"/>
  <c r="K41"/>
  <c r="L52"/>
  <c r="K73"/>
  <c r="K42"/>
  <c r="L31"/>
  <c r="L21"/>
  <c r="L60"/>
  <c r="L48"/>
  <c r="L23"/>
  <c r="K37"/>
  <c r="K55"/>
  <c r="K76" i="54"/>
  <c r="K72"/>
  <c r="K31"/>
  <c r="K27"/>
  <c r="K34"/>
  <c r="L29"/>
  <c r="K41"/>
  <c r="K25"/>
  <c r="L71"/>
  <c r="L67"/>
  <c r="L62"/>
  <c r="K48"/>
  <c r="K33"/>
  <c r="K38"/>
  <c r="K46"/>
  <c r="K68"/>
  <c r="K60"/>
  <c r="L22"/>
  <c r="L47"/>
  <c r="K26"/>
  <c r="L23"/>
  <c r="L74"/>
  <c r="K67"/>
  <c r="L50"/>
  <c r="K24"/>
  <c r="K36"/>
  <c r="L49"/>
  <c r="K71"/>
  <c r="L79"/>
  <c r="L75"/>
  <c r="L24"/>
  <c r="L34"/>
  <c r="K29"/>
  <c r="K57"/>
  <c r="K32"/>
  <c r="L43"/>
  <c r="K79"/>
  <c r="K22"/>
  <c r="K43"/>
  <c r="K58"/>
  <c r="K59"/>
  <c r="K20"/>
  <c r="K44"/>
  <c r="K69"/>
  <c r="L25"/>
  <c r="L28"/>
  <c r="K37"/>
  <c r="L78"/>
  <c r="L56"/>
  <c r="K62"/>
  <c r="L73"/>
  <c r="L41"/>
  <c r="L26"/>
  <c r="L77"/>
  <c r="L55"/>
  <c r="L54"/>
  <c r="L42"/>
  <c r="K47"/>
  <c r="L46"/>
  <c r="K30"/>
  <c r="K77"/>
  <c r="K54"/>
  <c r="L57"/>
  <c r="L35"/>
  <c r="L48"/>
  <c r="K49"/>
  <c r="K39"/>
  <c r="L59"/>
  <c r="K55"/>
  <c r="K53"/>
  <c r="L36"/>
  <c r="L61"/>
  <c r="L69"/>
  <c r="K64"/>
  <c r="L65"/>
  <c r="K74"/>
  <c r="L58"/>
  <c r="K50"/>
  <c r="K51"/>
  <c r="L52"/>
  <c r="L27"/>
  <c r="L64"/>
  <c r="L63"/>
  <c r="L33"/>
  <c r="K45"/>
  <c r="K63"/>
  <c r="K23"/>
  <c r="K75"/>
  <c r="K73"/>
  <c r="L32"/>
  <c r="L53"/>
  <c r="L39"/>
  <c r="L44"/>
  <c r="K65"/>
  <c r="L30"/>
  <c r="L20"/>
  <c r="L38"/>
  <c r="L66"/>
  <c r="K61"/>
  <c r="K28"/>
  <c r="L40"/>
  <c r="K70"/>
  <c r="L60"/>
  <c r="K35"/>
  <c r="K56"/>
  <c r="K52"/>
  <c r="L31"/>
  <c r="K42"/>
  <c r="L72"/>
  <c r="L51"/>
  <c r="L21"/>
  <c r="L70"/>
  <c r="L76"/>
  <c r="K40"/>
  <c r="L45"/>
  <c r="K78"/>
  <c r="L68"/>
  <c r="K21"/>
  <c r="L37"/>
  <c r="K66"/>
  <c r="F151" i="1"/>
  <c r="H22" i="9"/>
  <c r="F17" i="1"/>
  <c r="C34" i="52"/>
  <c r="H68" i="1"/>
  <c r="F16"/>
  <c r="F19"/>
  <c r="C34" i="51"/>
  <c r="E22" i="9" l="1"/>
  <c r="B22" i="28" s="1"/>
  <c r="E17" i="9"/>
  <c r="B42" i="27" s="1"/>
  <c r="S21" i="1"/>
  <c r="F137" s="1"/>
  <c r="F11"/>
  <c r="H13" i="27" s="1"/>
  <c r="F25" i="1"/>
  <c r="F72"/>
  <c r="B41"/>
  <c r="I67" i="3"/>
  <c r="B46" i="1" s="1"/>
  <c r="B47" s="1"/>
  <c r="F18"/>
  <c r="G67" i="3"/>
  <c r="B8" i="5"/>
  <c r="E8" s="1"/>
  <c r="R6"/>
  <c r="E7"/>
  <c r="I23" i="9"/>
  <c r="F23" s="1"/>
  <c r="F41" i="52"/>
  <c r="F41" i="51"/>
  <c r="AD67" i="52"/>
  <c r="AD41"/>
  <c r="AD55"/>
  <c r="AG55" s="1"/>
  <c r="AD38"/>
  <c r="AG38" s="1"/>
  <c r="AD72"/>
  <c r="AD53"/>
  <c r="AD79"/>
  <c r="AG79" s="1"/>
  <c r="AD56"/>
  <c r="AD68"/>
  <c r="AG68" s="1"/>
  <c r="AD54"/>
  <c r="AG54" s="1"/>
  <c r="AD28"/>
  <c r="AG28" s="1"/>
  <c r="AD22"/>
  <c r="AD31"/>
  <c r="AG31" s="1"/>
  <c r="AD36"/>
  <c r="AG36" s="1"/>
  <c r="AD78"/>
  <c r="AD29"/>
  <c r="AG29" s="1"/>
  <c r="AD75"/>
  <c r="AG75" s="1"/>
  <c r="AD63"/>
  <c r="AG63" s="1"/>
  <c r="AD57"/>
  <c r="AG57" s="1"/>
  <c r="AD71"/>
  <c r="AG71" s="1"/>
  <c r="AD52"/>
  <c r="AG52" s="1"/>
  <c r="AD49"/>
  <c r="AD43"/>
  <c r="AG43" s="1"/>
  <c r="AD77"/>
  <c r="AG77" s="1"/>
  <c r="AD46"/>
  <c r="AG46" s="1"/>
  <c r="AD65"/>
  <c r="AG65" s="1"/>
  <c r="AD74"/>
  <c r="AD59"/>
  <c r="AG59" s="1"/>
  <c r="AD50"/>
  <c r="AD34"/>
  <c r="AG34" s="1"/>
  <c r="AD32"/>
  <c r="AG32" s="1"/>
  <c r="AD47"/>
  <c r="AD35"/>
  <c r="AD66"/>
  <c r="AG66" s="1"/>
  <c r="AD64"/>
  <c r="AD26"/>
  <c r="AG26" s="1"/>
  <c r="AD42"/>
  <c r="AG42" s="1"/>
  <c r="AD61"/>
  <c r="AD73"/>
  <c r="AG73" s="1"/>
  <c r="AD27"/>
  <c r="AD20"/>
  <c r="AG20" s="1"/>
  <c r="AD62"/>
  <c r="AD48"/>
  <c r="AD33"/>
  <c r="AD60"/>
  <c r="AG60" s="1"/>
  <c r="AD21"/>
  <c r="AG21" s="1"/>
  <c r="AD39"/>
  <c r="AD51"/>
  <c r="AG51" s="1"/>
  <c r="AD44"/>
  <c r="AD58"/>
  <c r="AD76"/>
  <c r="AG76" s="1"/>
  <c r="AD70"/>
  <c r="AG70" s="1"/>
  <c r="AD37"/>
  <c r="AG37" s="1"/>
  <c r="AD45"/>
  <c r="AG45" s="1"/>
  <c r="AD24"/>
  <c r="AD30"/>
  <c r="AD23"/>
  <c r="AG23" s="1"/>
  <c r="AD69"/>
  <c r="AG69" s="1"/>
  <c r="AD25"/>
  <c r="AG25" s="1"/>
  <c r="AD40"/>
  <c r="AB48"/>
  <c r="AB47"/>
  <c r="AB35"/>
  <c r="AB22"/>
  <c r="AB67"/>
  <c r="AB50"/>
  <c r="AB58"/>
  <c r="AB59"/>
  <c r="K23" i="49"/>
  <c r="K60"/>
  <c r="L78"/>
  <c r="L56"/>
  <c r="L73"/>
  <c r="K78"/>
  <c r="L32"/>
  <c r="K48"/>
  <c r="K45"/>
  <c r="K72"/>
  <c r="L61"/>
  <c r="L39"/>
  <c r="L52"/>
  <c r="L37"/>
  <c r="L22"/>
  <c r="L24"/>
  <c r="K38"/>
  <c r="L25"/>
  <c r="K26"/>
  <c r="K73"/>
  <c r="K46"/>
  <c r="L50"/>
  <c r="K44"/>
  <c r="L55"/>
  <c r="K30"/>
  <c r="L48"/>
  <c r="K55"/>
  <c r="K57"/>
  <c r="K42"/>
  <c r="K77"/>
  <c r="L53"/>
  <c r="K74"/>
  <c r="K28"/>
  <c r="K32"/>
  <c r="L26"/>
  <c r="L75"/>
  <c r="K66"/>
  <c r="K79"/>
  <c r="K34"/>
  <c r="L21"/>
  <c r="K35"/>
  <c r="L68"/>
  <c r="L41"/>
  <c r="K68"/>
  <c r="K50"/>
  <c r="L47"/>
  <c r="K24"/>
  <c r="L38"/>
  <c r="K51"/>
  <c r="L54"/>
  <c r="L28"/>
  <c r="K49"/>
  <c r="K61"/>
  <c r="K75"/>
  <c r="L69"/>
  <c r="L49"/>
  <c r="L70"/>
  <c r="L44"/>
  <c r="K41"/>
  <c r="K21"/>
  <c r="L40"/>
  <c r="L65"/>
  <c r="L72"/>
  <c r="L45"/>
  <c r="L62"/>
  <c r="L77"/>
  <c r="K71"/>
  <c r="K37"/>
  <c r="K25"/>
  <c r="K58"/>
  <c r="L27"/>
  <c r="K40"/>
  <c r="K63"/>
  <c r="K36"/>
  <c r="L74"/>
  <c r="L67"/>
  <c r="K29"/>
  <c r="K59"/>
  <c r="K43"/>
  <c r="L59"/>
  <c r="K20"/>
  <c r="K39"/>
  <c r="L23"/>
  <c r="K65"/>
  <c r="L58"/>
  <c r="L31"/>
  <c r="L33"/>
  <c r="K52"/>
  <c r="L34"/>
  <c r="L46"/>
  <c r="L51"/>
  <c r="K33"/>
  <c r="K76"/>
  <c r="K22"/>
  <c r="K47"/>
  <c r="K31"/>
  <c r="L71"/>
  <c r="K69"/>
  <c r="K56"/>
  <c r="L36"/>
  <c r="L35"/>
  <c r="L64"/>
  <c r="L63"/>
  <c r="L66"/>
  <c r="L76"/>
  <c r="K70"/>
  <c r="L79"/>
  <c r="L29"/>
  <c r="K53"/>
  <c r="K27"/>
  <c r="K67"/>
  <c r="L30"/>
  <c r="L20"/>
  <c r="K54"/>
  <c r="L43"/>
  <c r="L42"/>
  <c r="K64"/>
  <c r="L60"/>
  <c r="L57"/>
  <c r="K62"/>
  <c r="AB34" i="52"/>
  <c r="AB75"/>
  <c r="AB78"/>
  <c r="AB43"/>
  <c r="AB51"/>
  <c r="AB24"/>
  <c r="AB31"/>
  <c r="AB61"/>
  <c r="AB63"/>
  <c r="AB36"/>
  <c r="AB30"/>
  <c r="AB41"/>
  <c r="AB62"/>
  <c r="AD33" i="51"/>
  <c r="AD24"/>
  <c r="AD54"/>
  <c r="AD79"/>
  <c r="AD48"/>
  <c r="AD21"/>
  <c r="AD55"/>
  <c r="AD35"/>
  <c r="AD74"/>
  <c r="AD60"/>
  <c r="AD22"/>
  <c r="AD32"/>
  <c r="AD59"/>
  <c r="AD30"/>
  <c r="AD51"/>
  <c r="AD20"/>
  <c r="AD45"/>
  <c r="AD69"/>
  <c r="AD63"/>
  <c r="AD77"/>
  <c r="AD36"/>
  <c r="AD58"/>
  <c r="AD68"/>
  <c r="AD61"/>
  <c r="AD41"/>
  <c r="AD25"/>
  <c r="AD75"/>
  <c r="AD65"/>
  <c r="AD39"/>
  <c r="AD46"/>
  <c r="AD57"/>
  <c r="AD67"/>
  <c r="AD71"/>
  <c r="AD52"/>
  <c r="AD31"/>
  <c r="AD34"/>
  <c r="AD66"/>
  <c r="AD28"/>
  <c r="AD47"/>
  <c r="AD38"/>
  <c r="AD40"/>
  <c r="AD62"/>
  <c r="AD29"/>
  <c r="AD23"/>
  <c r="AD70"/>
  <c r="AD64"/>
  <c r="AD50"/>
  <c r="AD78"/>
  <c r="AD37"/>
  <c r="AD72"/>
  <c r="AD26"/>
  <c r="AD43"/>
  <c r="AD42"/>
  <c r="AD73"/>
  <c r="AD56"/>
  <c r="AD76"/>
  <c r="AD44"/>
  <c r="AD53"/>
  <c r="AD49"/>
  <c r="AD27"/>
  <c r="F20"/>
  <c r="AB40" i="52"/>
  <c r="AB53"/>
  <c r="AB25"/>
  <c r="AB27"/>
  <c r="AB21"/>
  <c r="AB33"/>
  <c r="AB64"/>
  <c r="AB45"/>
  <c r="AB39"/>
  <c r="AB73"/>
  <c r="AB69"/>
  <c r="AB42"/>
  <c r="AB49"/>
  <c r="AB71"/>
  <c r="AB28"/>
  <c r="AB57"/>
  <c r="AB65"/>
  <c r="V34"/>
  <c r="V18" s="1"/>
  <c r="V34" i="51"/>
  <c r="V18" s="1"/>
  <c r="L49" i="48"/>
  <c r="K78"/>
  <c r="K22"/>
  <c r="K57"/>
  <c r="K36"/>
  <c r="K61"/>
  <c r="K79"/>
  <c r="L39"/>
  <c r="K63"/>
  <c r="K35"/>
  <c r="K68"/>
  <c r="L52"/>
  <c r="K74"/>
  <c r="L66"/>
  <c r="K23"/>
  <c r="K34"/>
  <c r="L31"/>
  <c r="L64"/>
  <c r="K58"/>
  <c r="L51"/>
  <c r="L41"/>
  <c r="K27"/>
  <c r="L47"/>
  <c r="K73"/>
  <c r="K71"/>
  <c r="L54"/>
  <c r="K62"/>
  <c r="L61"/>
  <c r="K51"/>
  <c r="L20"/>
  <c r="L24"/>
  <c r="L69"/>
  <c r="L42"/>
  <c r="L48"/>
  <c r="K56"/>
  <c r="L79"/>
  <c r="K53"/>
  <c r="L71"/>
  <c r="L44"/>
  <c r="L35"/>
  <c r="K47"/>
  <c r="L33"/>
  <c r="K40"/>
  <c r="L36"/>
  <c r="L50"/>
  <c r="K24"/>
  <c r="L32"/>
  <c r="L60"/>
  <c r="L58"/>
  <c r="K26"/>
  <c r="L45"/>
  <c r="L56"/>
  <c r="K38"/>
  <c r="K45"/>
  <c r="K77"/>
  <c r="L55"/>
  <c r="K43"/>
  <c r="K32"/>
  <c r="K21"/>
  <c r="L26"/>
  <c r="L29"/>
  <c r="K52"/>
  <c r="L53"/>
  <c r="L27"/>
  <c r="K72"/>
  <c r="L78"/>
  <c r="L34"/>
  <c r="L70"/>
  <c r="K25"/>
  <c r="K75"/>
  <c r="L63"/>
  <c r="L74"/>
  <c r="L30"/>
  <c r="L28"/>
  <c r="L62"/>
  <c r="L65"/>
  <c r="L67"/>
  <c r="K30"/>
  <c r="K48"/>
  <c r="K65"/>
  <c r="L77"/>
  <c r="K64"/>
  <c r="L46"/>
  <c r="K29"/>
  <c r="L43"/>
  <c r="L22"/>
  <c r="K42"/>
  <c r="K28"/>
  <c r="K54"/>
  <c r="K49"/>
  <c r="K33"/>
  <c r="K66"/>
  <c r="L40"/>
  <c r="K31"/>
  <c r="K20"/>
  <c r="K67"/>
  <c r="K70"/>
  <c r="L75"/>
  <c r="L25"/>
  <c r="L68"/>
  <c r="K55"/>
  <c r="L72"/>
  <c r="L59"/>
  <c r="L38"/>
  <c r="K76"/>
  <c r="L57"/>
  <c r="K69"/>
  <c r="K60"/>
  <c r="K37"/>
  <c r="K46"/>
  <c r="K59"/>
  <c r="K44"/>
  <c r="L76"/>
  <c r="K50"/>
  <c r="L37"/>
  <c r="K41"/>
  <c r="K39"/>
  <c r="L73"/>
  <c r="L21"/>
  <c r="L23"/>
  <c r="AB46" i="52"/>
  <c r="AB72"/>
  <c r="AB79"/>
  <c r="AB54"/>
  <c r="AB60"/>
  <c r="AB37"/>
  <c r="AB74"/>
  <c r="AB38"/>
  <c r="AB29"/>
  <c r="AB55"/>
  <c r="AB77"/>
  <c r="AB23"/>
  <c r="AB66"/>
  <c r="AB70"/>
  <c r="AB76"/>
  <c r="AB52"/>
  <c r="AB26"/>
  <c r="AF48"/>
  <c r="AF35"/>
  <c r="AF67"/>
  <c r="AG67" s="1"/>
  <c r="AF58"/>
  <c r="AG58" s="1"/>
  <c r="AF22"/>
  <c r="AF44"/>
  <c r="AF24"/>
  <c r="AF40"/>
  <c r="AF30"/>
  <c r="AF41"/>
  <c r="AF62"/>
  <c r="AF39"/>
  <c r="AF61"/>
  <c r="AF27"/>
  <c r="AB20"/>
  <c r="AF33"/>
  <c r="AF53"/>
  <c r="AF50"/>
  <c r="AF64"/>
  <c r="AF49"/>
  <c r="AF56"/>
  <c r="AF72"/>
  <c r="AF47"/>
  <c r="AF74"/>
  <c r="AF78"/>
  <c r="H23" i="9"/>
  <c r="G74" i="1"/>
  <c r="H83"/>
  <c r="H28"/>
  <c r="G29"/>
  <c r="F20"/>
  <c r="H65"/>
  <c r="G67"/>
  <c r="G28"/>
  <c r="G66"/>
  <c r="G71"/>
  <c r="H29"/>
  <c r="E23" i="9" l="1"/>
  <c r="B23" i="28" s="1"/>
  <c r="H14" i="27"/>
  <c r="AG33" i="52"/>
  <c r="AG40"/>
  <c r="R7" i="5"/>
  <c r="B9"/>
  <c r="R8" s="1"/>
  <c r="AG72" i="52"/>
  <c r="AG50"/>
  <c r="D8" i="5"/>
  <c r="F71" i="1"/>
  <c r="F29"/>
  <c r="F31" s="1"/>
  <c r="B65" s="1"/>
  <c r="B68" s="1"/>
  <c r="F28"/>
  <c r="F44"/>
  <c r="AG48" i="52"/>
  <c r="C10" i="1"/>
  <c r="G86"/>
  <c r="G85" s="1"/>
  <c r="G83" s="1"/>
  <c r="F83" s="1"/>
  <c r="AG62" i="52"/>
  <c r="AG56"/>
  <c r="AG30"/>
  <c r="AG22"/>
  <c r="AG74"/>
  <c r="AG39"/>
  <c r="I24" i="9"/>
  <c r="F24" s="1"/>
  <c r="AG27" i="52"/>
  <c r="AG47"/>
  <c r="AG64"/>
  <c r="AG24"/>
  <c r="AG49"/>
  <c r="AG61"/>
  <c r="AG35"/>
  <c r="AG78"/>
  <c r="AG53"/>
  <c r="AG41"/>
  <c r="AG44"/>
  <c r="AE37" i="51"/>
  <c r="AE72"/>
  <c r="AF72" s="1"/>
  <c r="AG72" s="1"/>
  <c r="AH28"/>
  <c r="AE50"/>
  <c r="AE20"/>
  <c r="AF20" s="1"/>
  <c r="AG20" s="1"/>
  <c r="AH71"/>
  <c r="AH61"/>
  <c r="AH72"/>
  <c r="AH56"/>
  <c r="AE54"/>
  <c r="AF54" s="1"/>
  <c r="AG54" s="1"/>
  <c r="AE65"/>
  <c r="AF65" s="1"/>
  <c r="AG65" s="1"/>
  <c r="AH76"/>
  <c r="AH21"/>
  <c r="AH68"/>
  <c r="AH32"/>
  <c r="AE27"/>
  <c r="AH49"/>
  <c r="AH26"/>
  <c r="AE28"/>
  <c r="AH30"/>
  <c r="AE60"/>
  <c r="AH35"/>
  <c r="AE56"/>
  <c r="AE74"/>
  <c r="AF74" s="1"/>
  <c r="AG74" s="1"/>
  <c r="AE68"/>
  <c r="AH51"/>
  <c r="AE38"/>
  <c r="AF38" s="1"/>
  <c r="AG38" s="1"/>
  <c r="AE47"/>
  <c r="AF47" s="1"/>
  <c r="AG47" s="1"/>
  <c r="AH34"/>
  <c r="AE22"/>
  <c r="AE40"/>
  <c r="AF40" s="1"/>
  <c r="AG40" s="1"/>
  <c r="AE39"/>
  <c r="AH39"/>
  <c r="AH44"/>
  <c r="AE23"/>
  <c r="AE36"/>
  <c r="AE70"/>
  <c r="AF70" s="1"/>
  <c r="AG70" s="1"/>
  <c r="AE44"/>
  <c r="AH55"/>
  <c r="AH42"/>
  <c r="AH77"/>
  <c r="AH27"/>
  <c r="AH23"/>
  <c r="AE55"/>
  <c r="AH20"/>
  <c r="AH29"/>
  <c r="AE53"/>
  <c r="AE26"/>
  <c r="AH37"/>
  <c r="AE79"/>
  <c r="AF79" s="1"/>
  <c r="AG79" s="1"/>
  <c r="AE75"/>
  <c r="AF75" s="1"/>
  <c r="AG75" s="1"/>
  <c r="AE52"/>
  <c r="AF52" s="1"/>
  <c r="AG52" s="1"/>
  <c r="AE73"/>
  <c r="AH66"/>
  <c r="AH52"/>
  <c r="AH60"/>
  <c r="AE61"/>
  <c r="AF61" s="1"/>
  <c r="AG61" s="1"/>
  <c r="AH70"/>
  <c r="AH22"/>
  <c r="AE43"/>
  <c r="AF43" s="1"/>
  <c r="AG43" s="1"/>
  <c r="AH25"/>
  <c r="AE51"/>
  <c r="AF51" s="1"/>
  <c r="AG51" s="1"/>
  <c r="AH46"/>
  <c r="AE66"/>
  <c r="AH57"/>
  <c r="AH48"/>
  <c r="AE62"/>
  <c r="AE45"/>
  <c r="AH69"/>
  <c r="AE69"/>
  <c r="AE33"/>
  <c r="AE78"/>
  <c r="AH36"/>
  <c r="AH43"/>
  <c r="AH24"/>
  <c r="AE41"/>
  <c r="AH50"/>
  <c r="AH47"/>
  <c r="AE34"/>
  <c r="AE64"/>
  <c r="AE42"/>
  <c r="AE76"/>
  <c r="AF76" s="1"/>
  <c r="AG76" s="1"/>
  <c r="AH62"/>
  <c r="AE71"/>
  <c r="AF71" s="1"/>
  <c r="AG71" s="1"/>
  <c r="AH63"/>
  <c r="AE49"/>
  <c r="AF49" s="1"/>
  <c r="AG49" s="1"/>
  <c r="AH53"/>
  <c r="AE48"/>
  <c r="AH40"/>
  <c r="AH33"/>
  <c r="AE25"/>
  <c r="AH74"/>
  <c r="AE59"/>
  <c r="AH45"/>
  <c r="AE77"/>
  <c r="AE32"/>
  <c r="AF32" s="1"/>
  <c r="AG32" s="1"/>
  <c r="AE24"/>
  <c r="AF24" s="1"/>
  <c r="AG24" s="1"/>
  <c r="AH78"/>
  <c r="AE46"/>
  <c r="AH38"/>
  <c r="AE30"/>
  <c r="AH59"/>
  <c r="AH64"/>
  <c r="AH75"/>
  <c r="AH31"/>
  <c r="AH41"/>
  <c r="AE57"/>
  <c r="AH65"/>
  <c r="AH54"/>
  <c r="AH58"/>
  <c r="AE58"/>
  <c r="AE63"/>
  <c r="AH67"/>
  <c r="AE21"/>
  <c r="AE29"/>
  <c r="AE31"/>
  <c r="AE67"/>
  <c r="AF67" s="1"/>
  <c r="AG67" s="1"/>
  <c r="AH73"/>
  <c r="AH79"/>
  <c r="AE35"/>
  <c r="AF35" s="1"/>
  <c r="AG35" s="1"/>
  <c r="H24" i="9"/>
  <c r="H74" i="1"/>
  <c r="E24" i="9" l="1"/>
  <c r="B24" i="28" s="1"/>
  <c r="F74" i="1"/>
  <c r="G39"/>
  <c r="G38" s="1"/>
  <c r="F38" s="1"/>
  <c r="E9" i="5"/>
  <c r="B82" i="1"/>
  <c r="B86" s="1"/>
  <c r="B90"/>
  <c r="B93" s="1"/>
  <c r="D9" i="5"/>
  <c r="B10"/>
  <c r="D10" s="1"/>
  <c r="G65" i="1"/>
  <c r="F65" s="1"/>
  <c r="C9" i="28"/>
  <c r="F45" i="1"/>
  <c r="F107"/>
  <c r="F125"/>
  <c r="F93"/>
  <c r="I25" i="9"/>
  <c r="F25" s="1"/>
  <c r="AB29" i="51"/>
  <c r="AB63"/>
  <c r="AB30"/>
  <c r="AB77"/>
  <c r="AB25"/>
  <c r="AB64"/>
  <c r="AB69"/>
  <c r="AB66"/>
  <c r="AB73"/>
  <c r="AB79"/>
  <c r="AB53"/>
  <c r="AB23"/>
  <c r="AB39"/>
  <c r="AB28"/>
  <c r="AB50"/>
  <c r="AB57"/>
  <c r="AB46"/>
  <c r="AB48"/>
  <c r="AB71"/>
  <c r="AB42"/>
  <c r="AB33"/>
  <c r="AB45"/>
  <c r="AB26"/>
  <c r="AB55"/>
  <c r="AB36"/>
  <c r="AB22"/>
  <c r="AB38"/>
  <c r="AB74"/>
  <c r="AB27"/>
  <c r="AB54"/>
  <c r="AB72"/>
  <c r="AB35"/>
  <c r="AB31"/>
  <c r="AB24"/>
  <c r="AB59"/>
  <c r="AB76"/>
  <c r="AB34"/>
  <c r="AB41"/>
  <c r="AB78"/>
  <c r="AB51"/>
  <c r="AB75"/>
  <c r="AB70"/>
  <c r="AB40"/>
  <c r="AB47"/>
  <c r="AB60"/>
  <c r="AB65"/>
  <c r="AB37"/>
  <c r="AB67"/>
  <c r="AB21"/>
  <c r="AB58"/>
  <c r="AB49"/>
  <c r="AB62"/>
  <c r="AB43"/>
  <c r="AB61"/>
  <c r="AB52"/>
  <c r="AF30"/>
  <c r="AF63"/>
  <c r="AF64"/>
  <c r="AF66"/>
  <c r="AF44"/>
  <c r="AF50"/>
  <c r="AF33"/>
  <c r="AF45"/>
  <c r="AF26"/>
  <c r="AF55"/>
  <c r="AF23"/>
  <c r="AF42"/>
  <c r="AF73"/>
  <c r="AF48"/>
  <c r="AF34"/>
  <c r="AF78"/>
  <c r="AF29"/>
  <c r="AF69"/>
  <c r="AF36"/>
  <c r="AF39"/>
  <c r="AF59"/>
  <c r="AF77"/>
  <c r="AF56"/>
  <c r="AF46"/>
  <c r="AF28"/>
  <c r="AF68"/>
  <c r="AF37"/>
  <c r="AF41"/>
  <c r="AF31"/>
  <c r="AF60"/>
  <c r="AF57"/>
  <c r="AF27"/>
  <c r="AF62"/>
  <c r="AF53"/>
  <c r="AF58"/>
  <c r="AF21"/>
  <c r="AF25"/>
  <c r="AB20"/>
  <c r="AF22"/>
  <c r="H25" i="9"/>
  <c r="E25" l="1"/>
  <c r="B25" i="28" s="1"/>
  <c r="H39" i="1"/>
  <c r="H38" s="1"/>
  <c r="E10" i="5"/>
  <c r="M7" i="1"/>
  <c r="D25" i="27"/>
  <c r="F126" i="1"/>
  <c r="C10" i="28"/>
  <c r="F156" i="1"/>
  <c r="E10" i="28" s="1"/>
  <c r="M10" i="1"/>
  <c r="I26" i="9"/>
  <c r="F26" s="1"/>
  <c r="G78" i="1"/>
  <c r="G76" s="1"/>
  <c r="H78"/>
  <c r="H76" s="1"/>
  <c r="F91"/>
  <c r="AG53" i="51"/>
  <c r="AG60"/>
  <c r="AG68"/>
  <c r="AG77"/>
  <c r="AG36"/>
  <c r="AG34"/>
  <c r="AG23"/>
  <c r="AG33"/>
  <c r="AG63"/>
  <c r="AG22"/>
  <c r="AG58"/>
  <c r="AG57"/>
  <c r="AG37"/>
  <c r="AG56"/>
  <c r="AG39"/>
  <c r="AG78"/>
  <c r="AG42"/>
  <c r="AG45"/>
  <c r="AG64"/>
  <c r="AG21"/>
  <c r="AG27"/>
  <c r="AG41"/>
  <c r="AG46"/>
  <c r="AG29"/>
  <c r="AG73"/>
  <c r="AG26"/>
  <c r="AG66"/>
  <c r="AG25"/>
  <c r="AG62"/>
  <c r="AG31"/>
  <c r="AG28"/>
  <c r="AG59"/>
  <c r="AG69"/>
  <c r="AG48"/>
  <c r="AG55"/>
  <c r="AG50"/>
  <c r="AG44"/>
  <c r="AG30"/>
  <c r="H26" i="9"/>
  <c r="E26" l="1"/>
  <c r="B26" i="28" s="1"/>
  <c r="F76" i="1"/>
  <c r="H36" i="31" s="1"/>
  <c r="C26" i="54" s="1"/>
  <c r="C32" s="1"/>
  <c r="F127" i="1"/>
  <c r="F134"/>
  <c r="I27" i="9"/>
  <c r="F27" s="1"/>
  <c r="H27"/>
  <c r="E27" l="1"/>
  <c r="B27" i="28" s="1"/>
  <c r="B17" i="31"/>
  <c r="C26" i="51" s="1"/>
  <c r="C36" s="1"/>
  <c r="F92" i="1"/>
  <c r="F94" s="1"/>
  <c r="C16" i="26" s="1"/>
  <c r="H17" i="31"/>
  <c r="C26" i="52" s="1"/>
  <c r="C36" s="1"/>
  <c r="F105" i="1"/>
  <c r="F108" s="1"/>
  <c r="B27" i="31"/>
  <c r="C17" i="48" s="1"/>
  <c r="D30" i="27"/>
  <c r="C7" i="26"/>
  <c r="M13" i="1"/>
  <c r="C11" i="28"/>
  <c r="I28" i="9"/>
  <c r="F28" s="1"/>
  <c r="H28"/>
  <c r="E28" l="1"/>
  <c r="B28" i="28" s="1"/>
  <c r="H13"/>
  <c r="E32" i="31"/>
  <c r="C22" i="49" s="1"/>
  <c r="D56" i="27"/>
  <c r="K12" i="31"/>
  <c r="C21" i="53" s="1"/>
  <c r="H32" i="31"/>
  <c r="C22" i="54" s="1"/>
  <c r="B32" i="31"/>
  <c r="C22" i="48" s="1"/>
  <c r="B13" i="31"/>
  <c r="C22" i="51" s="1"/>
  <c r="H13" i="31"/>
  <c r="C22" i="52" s="1"/>
  <c r="F145" i="1"/>
  <c r="C15" i="26"/>
  <c r="F130" i="1"/>
  <c r="N53" i="48"/>
  <c r="N71"/>
  <c r="N35"/>
  <c r="N79"/>
  <c r="N76"/>
  <c r="N39"/>
  <c r="N60"/>
  <c r="N73"/>
  <c r="N42"/>
  <c r="N27"/>
  <c r="N58"/>
  <c r="N32"/>
  <c r="N43"/>
  <c r="N49"/>
  <c r="N34"/>
  <c r="N29"/>
  <c r="N68"/>
  <c r="N20"/>
  <c r="Q20" s="1"/>
  <c r="N52"/>
  <c r="N37"/>
  <c r="N46"/>
  <c r="N78"/>
  <c r="N54"/>
  <c r="N63"/>
  <c r="N47"/>
  <c r="N24"/>
  <c r="N75"/>
  <c r="N21"/>
  <c r="N69"/>
  <c r="N44"/>
  <c r="N66"/>
  <c r="N25"/>
  <c r="N26"/>
  <c r="N36"/>
  <c r="N64"/>
  <c r="N45"/>
  <c r="N61"/>
  <c r="N59"/>
  <c r="N38"/>
  <c r="N30"/>
  <c r="N22"/>
  <c r="N72"/>
  <c r="N40"/>
  <c r="N23"/>
  <c r="N77"/>
  <c r="N67"/>
  <c r="N57"/>
  <c r="N31"/>
  <c r="N50"/>
  <c r="N33"/>
  <c r="N48"/>
  <c r="N28"/>
  <c r="N65"/>
  <c r="N51"/>
  <c r="N41"/>
  <c r="N56"/>
  <c r="N74"/>
  <c r="N55"/>
  <c r="N62"/>
  <c r="N70"/>
  <c r="F111" i="1"/>
  <c r="K27" i="31" s="1"/>
  <c r="I29" i="9"/>
  <c r="F29" s="1"/>
  <c r="H29"/>
  <c r="E29" l="1"/>
  <c r="B29" i="28" s="1"/>
  <c r="F18" i="54"/>
  <c r="F19" s="1"/>
  <c r="F27" s="1"/>
  <c r="F17"/>
  <c r="F26" s="1"/>
  <c r="F18" i="48"/>
  <c r="F19" s="1"/>
  <c r="F17"/>
  <c r="F18" i="49"/>
  <c r="F19" s="1"/>
  <c r="F27" s="1"/>
  <c r="F17"/>
  <c r="F26" s="1"/>
  <c r="F18" i="51"/>
  <c r="F19" s="1"/>
  <c r="F27" s="1"/>
  <c r="F17"/>
  <c r="F26" s="1"/>
  <c r="F18" i="52"/>
  <c r="F19" s="1"/>
  <c r="F27" s="1"/>
  <c r="F17"/>
  <c r="F26" s="1"/>
  <c r="F18" i="53"/>
  <c r="F19" s="1"/>
  <c r="F17"/>
  <c r="F128" i="1"/>
  <c r="H27" i="31" s="1"/>
  <c r="AA20" i="48"/>
  <c r="C8" i="26"/>
  <c r="I30" i="9"/>
  <c r="F30" s="1"/>
  <c r="H30"/>
  <c r="E30" l="1"/>
  <c r="B30" i="28" s="1"/>
  <c r="S20" i="48"/>
  <c r="AI20" s="1"/>
  <c r="F27"/>
  <c r="F23"/>
  <c r="F26"/>
  <c r="F22"/>
  <c r="F28" i="52"/>
  <c r="F28" i="49"/>
  <c r="F28" i="54"/>
  <c r="F28" i="51"/>
  <c r="H8" i="31"/>
  <c r="C17" i="52" s="1"/>
  <c r="AJ45" s="1"/>
  <c r="C17" i="54"/>
  <c r="E27" i="31"/>
  <c r="C17" i="49" s="1"/>
  <c r="N39" s="1"/>
  <c r="C17" i="55"/>
  <c r="N28" s="1"/>
  <c r="H28" i="26" s="1"/>
  <c r="M14" i="1"/>
  <c r="F152"/>
  <c r="G154" s="1"/>
  <c r="D11" i="28" s="1"/>
  <c r="B8" i="31"/>
  <c r="C17" i="51" s="1"/>
  <c r="AJ49" s="1"/>
  <c r="F147" i="1"/>
  <c r="F148" s="1"/>
  <c r="F131"/>
  <c r="F132" s="1"/>
  <c r="M9" s="1"/>
  <c r="C9" i="26"/>
  <c r="C11" s="1"/>
  <c r="C14" s="1"/>
  <c r="D31" i="27"/>
  <c r="F129" i="1"/>
  <c r="M8" s="1"/>
  <c r="I31" i="9"/>
  <c r="F31" s="1"/>
  <c r="H31"/>
  <c r="E31" l="1"/>
  <c r="B31" i="28" s="1"/>
  <c r="R20" i="52"/>
  <c r="U20" i="54"/>
  <c r="U20" i="49"/>
  <c r="U20" i="48"/>
  <c r="V20" s="1"/>
  <c r="X20" s="1"/>
  <c r="R20" i="51"/>
  <c r="O20" i="53" s="1"/>
  <c r="T20" i="48"/>
  <c r="F28"/>
  <c r="F24"/>
  <c r="N44" i="49"/>
  <c r="N68" i="54"/>
  <c r="N57"/>
  <c r="N74"/>
  <c r="N63"/>
  <c r="N24"/>
  <c r="N66"/>
  <c r="N51"/>
  <c r="N47"/>
  <c r="N44"/>
  <c r="N29"/>
  <c r="N73"/>
  <c r="N58"/>
  <c r="N65"/>
  <c r="N23"/>
  <c r="N45"/>
  <c r="N60"/>
  <c r="N52"/>
  <c r="N72"/>
  <c r="N27"/>
  <c r="N70"/>
  <c r="N59"/>
  <c r="N38"/>
  <c r="N32"/>
  <c r="N35"/>
  <c r="N21"/>
  <c r="N79"/>
  <c r="N34"/>
  <c r="N20"/>
  <c r="Q20" s="1"/>
  <c r="S20" s="1"/>
  <c r="N22"/>
  <c r="N54"/>
  <c r="N26"/>
  <c r="N28"/>
  <c r="N69"/>
  <c r="N25"/>
  <c r="N49"/>
  <c r="N46"/>
  <c r="N55"/>
  <c r="N48" i="49"/>
  <c r="N61"/>
  <c r="N51"/>
  <c r="N76" i="54"/>
  <c r="N61"/>
  <c r="N40"/>
  <c r="N50"/>
  <c r="N43"/>
  <c r="F23"/>
  <c r="N53"/>
  <c r="N71"/>
  <c r="N78"/>
  <c r="N75"/>
  <c r="N36"/>
  <c r="N46" i="49"/>
  <c r="N36"/>
  <c r="N29"/>
  <c r="N57"/>
  <c r="N74"/>
  <c r="N40"/>
  <c r="N60"/>
  <c r="N71"/>
  <c r="N30"/>
  <c r="N27"/>
  <c r="N24"/>
  <c r="N33"/>
  <c r="N53"/>
  <c r="N77"/>
  <c r="N34"/>
  <c r="N67"/>
  <c r="F22"/>
  <c r="N59"/>
  <c r="F23"/>
  <c r="N69"/>
  <c r="N22"/>
  <c r="N62"/>
  <c r="N49"/>
  <c r="N42"/>
  <c r="N37"/>
  <c r="N32"/>
  <c r="N21"/>
  <c r="N68"/>
  <c r="N47"/>
  <c r="N54"/>
  <c r="N50"/>
  <c r="N75"/>
  <c r="N76"/>
  <c r="N65"/>
  <c r="N45"/>
  <c r="N63"/>
  <c r="N38"/>
  <c r="N78"/>
  <c r="N66"/>
  <c r="N70"/>
  <c r="N56"/>
  <c r="N79"/>
  <c r="N77" i="54"/>
  <c r="N37"/>
  <c r="N42"/>
  <c r="N64"/>
  <c r="N33"/>
  <c r="N39"/>
  <c r="N41"/>
  <c r="N67"/>
  <c r="N31"/>
  <c r="N56"/>
  <c r="N62"/>
  <c r="F22"/>
  <c r="N48"/>
  <c r="N30"/>
  <c r="N58" i="49"/>
  <c r="N72"/>
  <c r="N64"/>
  <c r="N26"/>
  <c r="N31"/>
  <c r="N43"/>
  <c r="N23"/>
  <c r="N55"/>
  <c r="N73"/>
  <c r="N28"/>
  <c r="N35"/>
  <c r="N25"/>
  <c r="N20"/>
  <c r="Q20" s="1"/>
  <c r="S20" s="1"/>
  <c r="N41"/>
  <c r="N52"/>
  <c r="AJ42" i="52"/>
  <c r="AJ41"/>
  <c r="AJ26"/>
  <c r="AJ36"/>
  <c r="AJ21"/>
  <c r="AJ73"/>
  <c r="AJ27"/>
  <c r="AJ73" i="51"/>
  <c r="AJ44" i="52"/>
  <c r="AJ40"/>
  <c r="N47" i="55"/>
  <c r="H47" i="26" s="1"/>
  <c r="N42" i="55"/>
  <c r="H42" i="26" s="1"/>
  <c r="N62" i="55"/>
  <c r="H62" i="26" s="1"/>
  <c r="AJ24" i="52"/>
  <c r="AJ76"/>
  <c r="AJ64"/>
  <c r="N43" i="55"/>
  <c r="H43" i="26" s="1"/>
  <c r="N72" i="55"/>
  <c r="H72" i="26" s="1"/>
  <c r="N34" i="55"/>
  <c r="H34" i="26" s="1"/>
  <c r="N61" i="55"/>
  <c r="H61" i="26" s="1"/>
  <c r="AJ20" i="52"/>
  <c r="AM20" s="1"/>
  <c r="AJ47"/>
  <c r="AJ34"/>
  <c r="AJ63"/>
  <c r="AJ49"/>
  <c r="AJ58"/>
  <c r="N77" i="55"/>
  <c r="H77" i="26" s="1"/>
  <c r="N30" i="55"/>
  <c r="H30" i="26" s="1"/>
  <c r="N74" i="55"/>
  <c r="H74" i="26" s="1"/>
  <c r="N56" i="55"/>
  <c r="H56" i="26" s="1"/>
  <c r="AJ79" i="52"/>
  <c r="AJ29"/>
  <c r="AJ22"/>
  <c r="AJ46"/>
  <c r="AJ66"/>
  <c r="AJ43"/>
  <c r="N41" i="55"/>
  <c r="H41" i="26" s="1"/>
  <c r="N78" i="55"/>
  <c r="H78" i="26" s="1"/>
  <c r="N58" i="55"/>
  <c r="H58" i="26" s="1"/>
  <c r="N67" i="55"/>
  <c r="H67" i="26" s="1"/>
  <c r="N73" i="55"/>
  <c r="H73" i="26" s="1"/>
  <c r="N25" i="55"/>
  <c r="H25" i="26" s="1"/>
  <c r="N68" i="55"/>
  <c r="H68" i="26" s="1"/>
  <c r="N46" i="55"/>
  <c r="H46" i="26" s="1"/>
  <c r="AJ52" i="51"/>
  <c r="N29" i="55"/>
  <c r="H29" i="26" s="1"/>
  <c r="N75" i="55"/>
  <c r="H75" i="26" s="1"/>
  <c r="N44" i="55"/>
  <c r="H44" i="26" s="1"/>
  <c r="N54" i="55"/>
  <c r="H54" i="26" s="1"/>
  <c r="N33" i="55"/>
  <c r="H33" i="26" s="1"/>
  <c r="N70" i="55"/>
  <c r="H70" i="26" s="1"/>
  <c r="N51" i="55"/>
  <c r="H51" i="26" s="1"/>
  <c r="N36" i="55"/>
  <c r="H36" i="26" s="1"/>
  <c r="N57" i="55"/>
  <c r="H57" i="26" s="1"/>
  <c r="N60" i="55"/>
  <c r="H60" i="26" s="1"/>
  <c r="N45" i="55"/>
  <c r="H45" i="26" s="1"/>
  <c r="N40" i="55"/>
  <c r="H40" i="26" s="1"/>
  <c r="N49" i="55"/>
  <c r="H49" i="26" s="1"/>
  <c r="N63" i="55"/>
  <c r="H63" i="26" s="1"/>
  <c r="N48" i="55"/>
  <c r="H48" i="26" s="1"/>
  <c r="N35" i="55"/>
  <c r="H35" i="26" s="1"/>
  <c r="N59" i="55"/>
  <c r="H59" i="26" s="1"/>
  <c r="N20" i="55"/>
  <c r="H20" i="26" s="1"/>
  <c r="N55" i="55"/>
  <c r="H55" i="26" s="1"/>
  <c r="N64" i="55"/>
  <c r="H64" i="26" s="1"/>
  <c r="N65" i="55"/>
  <c r="H65" i="26" s="1"/>
  <c r="N76" i="55"/>
  <c r="H76" i="26" s="1"/>
  <c r="N37" i="55"/>
  <c r="H37" i="26" s="1"/>
  <c r="N39" i="55"/>
  <c r="H39" i="26" s="1"/>
  <c r="N27" i="55"/>
  <c r="H27" i="26" s="1"/>
  <c r="N24" i="55"/>
  <c r="H24" i="26" s="1"/>
  <c r="AJ29" i="51"/>
  <c r="N32" i="55"/>
  <c r="H32" i="26" s="1"/>
  <c r="N50" i="55"/>
  <c r="H50" i="26" s="1"/>
  <c r="N53" i="55"/>
  <c r="H53" i="26" s="1"/>
  <c r="N22" i="55"/>
  <c r="H22" i="26" s="1"/>
  <c r="N23" i="55"/>
  <c r="H23" i="26" s="1"/>
  <c r="N38" i="55"/>
  <c r="H38" i="26" s="1"/>
  <c r="N31" i="55"/>
  <c r="H31" i="26" s="1"/>
  <c r="N52" i="55"/>
  <c r="H52" i="26" s="1"/>
  <c r="N69" i="55"/>
  <c r="H69" i="26" s="1"/>
  <c r="N71" i="55"/>
  <c r="H71" i="26" s="1"/>
  <c r="N21" i="55"/>
  <c r="H21" i="26" s="1"/>
  <c r="N26" i="55"/>
  <c r="H26" i="26" s="1"/>
  <c r="N79" i="55"/>
  <c r="H79" i="26" s="1"/>
  <c r="N66" i="55"/>
  <c r="H66" i="26" s="1"/>
  <c r="AJ33" i="51"/>
  <c r="AJ34"/>
  <c r="AJ32"/>
  <c r="AJ50"/>
  <c r="AJ38" i="52"/>
  <c r="AJ71"/>
  <c r="AJ61"/>
  <c r="AJ48"/>
  <c r="AJ75"/>
  <c r="AJ50"/>
  <c r="AJ57"/>
  <c r="AJ21" i="51"/>
  <c r="AJ27"/>
  <c r="F154" i="1"/>
  <c r="B43" i="27" s="1"/>
  <c r="AJ53" i="51"/>
  <c r="AJ42"/>
  <c r="AJ43"/>
  <c r="AJ62"/>
  <c r="AJ79"/>
  <c r="AJ46"/>
  <c r="M11" i="1"/>
  <c r="AJ39" i="51"/>
  <c r="AJ40"/>
  <c r="AJ23"/>
  <c r="AJ22"/>
  <c r="AJ67"/>
  <c r="AJ68"/>
  <c r="AJ65"/>
  <c r="AJ37"/>
  <c r="AJ44"/>
  <c r="AJ45"/>
  <c r="AJ63"/>
  <c r="AJ56"/>
  <c r="AJ38"/>
  <c r="AJ70"/>
  <c r="AJ76"/>
  <c r="F158" i="1"/>
  <c r="AJ55" i="52"/>
  <c r="AJ69"/>
  <c r="AJ33"/>
  <c r="AJ62"/>
  <c r="AJ60"/>
  <c r="AJ51"/>
  <c r="AJ77"/>
  <c r="AJ78"/>
  <c r="AJ59"/>
  <c r="AJ53"/>
  <c r="AJ31"/>
  <c r="AJ54"/>
  <c r="AJ52"/>
  <c r="AJ72"/>
  <c r="AJ39"/>
  <c r="F23"/>
  <c r="AJ35"/>
  <c r="AJ74"/>
  <c r="AJ65"/>
  <c r="F22"/>
  <c r="AJ30"/>
  <c r="AJ67"/>
  <c r="AJ70"/>
  <c r="AJ28"/>
  <c r="AJ25"/>
  <c r="AJ37"/>
  <c r="AJ32"/>
  <c r="AJ56"/>
  <c r="AJ68"/>
  <c r="AJ23"/>
  <c r="F22" i="51"/>
  <c r="F23"/>
  <c r="AJ30"/>
  <c r="AJ36"/>
  <c r="AJ75"/>
  <c r="AJ24"/>
  <c r="AJ55"/>
  <c r="AJ35"/>
  <c r="AJ74"/>
  <c r="AJ72"/>
  <c r="D26" i="27"/>
  <c r="AJ51" i="51"/>
  <c r="AJ47"/>
  <c r="AJ20"/>
  <c r="D33" i="27"/>
  <c r="AJ54" i="51"/>
  <c r="AJ78"/>
  <c r="AJ31"/>
  <c r="AJ59"/>
  <c r="AJ57"/>
  <c r="AJ25"/>
  <c r="AJ61"/>
  <c r="AJ48"/>
  <c r="AJ69"/>
  <c r="AJ26"/>
  <c r="AJ64"/>
  <c r="AJ60"/>
  <c r="AJ71"/>
  <c r="AJ77"/>
  <c r="AJ58"/>
  <c r="AJ66"/>
  <c r="D27" i="27"/>
  <c r="AJ41" i="51"/>
  <c r="AJ28"/>
  <c r="C18" i="26"/>
  <c r="C20" s="1"/>
  <c r="K19" s="1"/>
  <c r="I32" i="9"/>
  <c r="F32" s="1"/>
  <c r="H32"/>
  <c r="E32" l="1"/>
  <c r="B32" i="28" s="1"/>
  <c r="U21" i="49"/>
  <c r="U21" i="48"/>
  <c r="R21" i="52"/>
  <c r="U21" i="54"/>
  <c r="R21" i="51"/>
  <c r="O21" i="53" s="1"/>
  <c r="O24" i="48"/>
  <c r="O40"/>
  <c r="O29"/>
  <c r="O28"/>
  <c r="O55"/>
  <c r="O51"/>
  <c r="O65"/>
  <c r="O21"/>
  <c r="O58"/>
  <c r="O45"/>
  <c r="O60"/>
  <c r="O52"/>
  <c r="O22"/>
  <c r="O72"/>
  <c r="O79"/>
  <c r="O48"/>
  <c r="O43"/>
  <c r="O50"/>
  <c r="O73"/>
  <c r="O41"/>
  <c r="O36"/>
  <c r="O53"/>
  <c r="O69"/>
  <c r="O66"/>
  <c r="O71"/>
  <c r="O39"/>
  <c r="O75"/>
  <c r="O37"/>
  <c r="O64"/>
  <c r="O30"/>
  <c r="O70"/>
  <c r="O23"/>
  <c r="O44"/>
  <c r="O59"/>
  <c r="O46"/>
  <c r="O62"/>
  <c r="O67"/>
  <c r="O32"/>
  <c r="O33"/>
  <c r="O49"/>
  <c r="O61"/>
  <c r="O54"/>
  <c r="O20"/>
  <c r="Z20" s="1"/>
  <c r="AB20" s="1"/>
  <c r="AD20" s="1"/>
  <c r="O63"/>
  <c r="O35"/>
  <c r="O57"/>
  <c r="O27"/>
  <c r="O25"/>
  <c r="O47"/>
  <c r="O76"/>
  <c r="O77"/>
  <c r="O31"/>
  <c r="O26"/>
  <c r="O78"/>
  <c r="O68"/>
  <c r="O42"/>
  <c r="O74"/>
  <c r="O38"/>
  <c r="O56"/>
  <c r="O34"/>
  <c r="AA20" i="54"/>
  <c r="F24"/>
  <c r="O30" s="1"/>
  <c r="F24" i="49"/>
  <c r="O23" s="1"/>
  <c r="AA20"/>
  <c r="L20" i="52"/>
  <c r="AW20" s="1"/>
  <c r="L20" i="53"/>
  <c r="C20" i="28" s="1"/>
  <c r="F24" i="52"/>
  <c r="AK45" s="1"/>
  <c r="D28" i="27"/>
  <c r="F24" i="51"/>
  <c r="AK47" s="1"/>
  <c r="L20"/>
  <c r="AM20"/>
  <c r="AI20" i="54"/>
  <c r="V20"/>
  <c r="X20" s="1"/>
  <c r="T20"/>
  <c r="AN20" i="52"/>
  <c r="AQ20"/>
  <c r="AI20" i="49"/>
  <c r="T20"/>
  <c r="V20"/>
  <c r="X20" s="1"/>
  <c r="I33" i="9"/>
  <c r="F33" s="1"/>
  <c r="H33"/>
  <c r="E33" l="1"/>
  <c r="B33" i="28" s="1"/>
  <c r="R22" i="52"/>
  <c r="U22" i="49"/>
  <c r="R22" i="51"/>
  <c r="O22" i="53" s="1"/>
  <c r="U22" i="54"/>
  <c r="U22" i="48"/>
  <c r="O43" i="54"/>
  <c r="AF20" i="48"/>
  <c r="Q21" s="1"/>
  <c r="AA21" s="1"/>
  <c r="AJ20"/>
  <c r="E20" i="26" s="1"/>
  <c r="O21" i="54"/>
  <c r="O78"/>
  <c r="O49"/>
  <c r="O62"/>
  <c r="O34"/>
  <c r="O25"/>
  <c r="O44"/>
  <c r="O38"/>
  <c r="O37"/>
  <c r="O48"/>
  <c r="O65"/>
  <c r="O55"/>
  <c r="O64"/>
  <c r="O36"/>
  <c r="O31"/>
  <c r="O41"/>
  <c r="O73"/>
  <c r="O71"/>
  <c r="O42"/>
  <c r="O72"/>
  <c r="O60"/>
  <c r="O27"/>
  <c r="O68"/>
  <c r="O47"/>
  <c r="O61"/>
  <c r="O63"/>
  <c r="O76"/>
  <c r="O53"/>
  <c r="O28"/>
  <c r="O23"/>
  <c r="O22"/>
  <c r="O29"/>
  <c r="O40"/>
  <c r="O51"/>
  <c r="O66"/>
  <c r="O75"/>
  <c r="O77"/>
  <c r="O24"/>
  <c r="O32"/>
  <c r="O33"/>
  <c r="O70"/>
  <c r="O35"/>
  <c r="O74"/>
  <c r="O50"/>
  <c r="O26"/>
  <c r="O79"/>
  <c r="O69"/>
  <c r="O54"/>
  <c r="O46"/>
  <c r="O52"/>
  <c r="O56"/>
  <c r="O59"/>
  <c r="O39"/>
  <c r="O57"/>
  <c r="O58"/>
  <c r="O45"/>
  <c r="O20"/>
  <c r="Z20" s="1"/>
  <c r="AB20" s="1"/>
  <c r="AD20" s="1"/>
  <c r="O67"/>
  <c r="O69" i="49"/>
  <c r="O22"/>
  <c r="O55"/>
  <c r="O71"/>
  <c r="O75"/>
  <c r="O49"/>
  <c r="O26"/>
  <c r="O62"/>
  <c r="O54"/>
  <c r="O79"/>
  <c r="O68"/>
  <c r="O44"/>
  <c r="O61"/>
  <c r="O47"/>
  <c r="O78"/>
  <c r="O65"/>
  <c r="O51"/>
  <c r="O31"/>
  <c r="O73"/>
  <c r="O43"/>
  <c r="O24"/>
  <c r="O25"/>
  <c r="O39"/>
  <c r="O60"/>
  <c r="O35"/>
  <c r="O40"/>
  <c r="O57"/>
  <c r="O20"/>
  <c r="Z20" s="1"/>
  <c r="AB20" s="1"/>
  <c r="O74"/>
  <c r="O50"/>
  <c r="O38"/>
  <c r="O70"/>
  <c r="O52"/>
  <c r="O41"/>
  <c r="O72"/>
  <c r="O48"/>
  <c r="O58"/>
  <c r="O67"/>
  <c r="O76"/>
  <c r="O27"/>
  <c r="O59"/>
  <c r="O21"/>
  <c r="O34"/>
  <c r="O30"/>
  <c r="O29"/>
  <c r="O45"/>
  <c r="O37"/>
  <c r="O56"/>
  <c r="O77"/>
  <c r="O33"/>
  <c r="O32"/>
  <c r="O64"/>
  <c r="O63"/>
  <c r="O42"/>
  <c r="O66"/>
  <c r="O46"/>
  <c r="O28"/>
  <c r="O53"/>
  <c r="O36"/>
  <c r="N20" i="52"/>
  <c r="P20"/>
  <c r="Q20" s="1"/>
  <c r="AV20"/>
  <c r="AX20" s="1"/>
  <c r="AX21" s="1"/>
  <c r="AX22" s="1"/>
  <c r="AX23" s="1"/>
  <c r="AX24" s="1"/>
  <c r="AX25" s="1"/>
  <c r="AX26" s="1"/>
  <c r="AX27" s="1"/>
  <c r="AX28" s="1"/>
  <c r="AX29" s="1"/>
  <c r="AX30" s="1"/>
  <c r="AX31" s="1"/>
  <c r="N20" i="53"/>
  <c r="P20" s="1"/>
  <c r="E20" i="28" s="1"/>
  <c r="AK63" i="52"/>
  <c r="X63" i="53" s="1"/>
  <c r="AK20" i="52"/>
  <c r="X20" i="53" s="1"/>
  <c r="AK49" i="52"/>
  <c r="X49" i="53" s="1"/>
  <c r="AK38" i="52"/>
  <c r="X38" i="53" s="1"/>
  <c r="AK36" i="52"/>
  <c r="X36" i="53" s="1"/>
  <c r="AK59" i="52"/>
  <c r="X59" i="53" s="1"/>
  <c r="AK69" i="52"/>
  <c r="X69" i="53" s="1"/>
  <c r="AK47" i="52"/>
  <c r="X47" i="53" s="1"/>
  <c r="AK79" i="52"/>
  <c r="X79" i="53" s="1"/>
  <c r="AK44" i="52"/>
  <c r="AK62"/>
  <c r="X62" i="53" s="1"/>
  <c r="AK41" i="52"/>
  <c r="X41" i="53" s="1"/>
  <c r="AK73" i="52"/>
  <c r="X73" i="53" s="1"/>
  <c r="AK70" i="52"/>
  <c r="X70" i="53" s="1"/>
  <c r="AK72" i="52"/>
  <c r="X72" i="53" s="1"/>
  <c r="AK53" i="52"/>
  <c r="X53" i="53" s="1"/>
  <c r="AK52" i="52"/>
  <c r="X52" i="53" s="1"/>
  <c r="AK61" i="52"/>
  <c r="X61" i="53" s="1"/>
  <c r="AK39" i="52"/>
  <c r="X39" i="53" s="1"/>
  <c r="AK65" i="52"/>
  <c r="X65" i="53" s="1"/>
  <c r="AK21" i="52"/>
  <c r="X21" i="53" s="1"/>
  <c r="AK76" i="52"/>
  <c r="X76" i="53" s="1"/>
  <c r="AK57" i="52"/>
  <c r="X57" i="53" s="1"/>
  <c r="AK34" i="52"/>
  <c r="X34" i="53" s="1"/>
  <c r="AK50" i="52"/>
  <c r="X50" i="53" s="1"/>
  <c r="AK48" i="52"/>
  <c r="X48" i="53" s="1"/>
  <c r="AK22" i="52"/>
  <c r="X22" i="53" s="1"/>
  <c r="AK30" i="52"/>
  <c r="X30" i="53" s="1"/>
  <c r="AK28" i="52"/>
  <c r="X28" i="53" s="1"/>
  <c r="AK35" i="52"/>
  <c r="X35" i="53" s="1"/>
  <c r="AK54" i="52"/>
  <c r="X54" i="53" s="1"/>
  <c r="AK64" i="52"/>
  <c r="X64" i="53" s="1"/>
  <c r="AK67" i="52"/>
  <c r="X67" i="53" s="1"/>
  <c r="AK42" i="52"/>
  <c r="X42" i="53" s="1"/>
  <c r="AK37" i="52"/>
  <c r="X37" i="53" s="1"/>
  <c r="AK77" i="52"/>
  <c r="X77" i="53" s="1"/>
  <c r="AK27" i="52"/>
  <c r="X27" i="53" s="1"/>
  <c r="AK33" i="52"/>
  <c r="X33" i="53" s="1"/>
  <c r="AK31" i="52"/>
  <c r="X31" i="53" s="1"/>
  <c r="AK60" i="52"/>
  <c r="X60" i="53" s="1"/>
  <c r="AK26" i="52"/>
  <c r="X26" i="53" s="1"/>
  <c r="AK55" i="52"/>
  <c r="X55" i="53" s="1"/>
  <c r="AK71" i="52"/>
  <c r="X71" i="53" s="1"/>
  <c r="AK56" i="52"/>
  <c r="X56" i="53" s="1"/>
  <c r="AK23" i="52"/>
  <c r="X23" i="53" s="1"/>
  <c r="AK75" i="52"/>
  <c r="X75" i="53" s="1"/>
  <c r="AK24" i="52"/>
  <c r="X24" i="53" s="1"/>
  <c r="AK66" i="52"/>
  <c r="X66" i="53" s="1"/>
  <c r="AK78" i="52"/>
  <c r="X78" i="53" s="1"/>
  <c r="AK32" i="52"/>
  <c r="X32" i="53" s="1"/>
  <c r="AK43" i="52"/>
  <c r="X43" i="53" s="1"/>
  <c r="AK40" i="52"/>
  <c r="X40" i="53" s="1"/>
  <c r="AK51" i="52"/>
  <c r="X51" i="53" s="1"/>
  <c r="AK68" i="52"/>
  <c r="X68" i="53" s="1"/>
  <c r="AK25" i="52"/>
  <c r="X25" i="53" s="1"/>
  <c r="AK58" i="52"/>
  <c r="X58" i="53" s="1"/>
  <c r="AK74" i="52"/>
  <c r="X74" i="53" s="1"/>
  <c r="AK46" i="52"/>
  <c r="X46" i="53" s="1"/>
  <c r="AK29" i="52"/>
  <c r="X29" i="53" s="1"/>
  <c r="AK32" i="51"/>
  <c r="AK55"/>
  <c r="AK53"/>
  <c r="AK52"/>
  <c r="AK73"/>
  <c r="AK38"/>
  <c r="AK78"/>
  <c r="AK43"/>
  <c r="X45" i="53"/>
  <c r="AK27" i="51"/>
  <c r="AK58"/>
  <c r="AK48"/>
  <c r="AK44"/>
  <c r="AK23"/>
  <c r="AK62"/>
  <c r="AK40"/>
  <c r="AK66"/>
  <c r="AK67"/>
  <c r="AK25"/>
  <c r="AK35"/>
  <c r="AK65"/>
  <c r="AK72"/>
  <c r="AK51"/>
  <c r="AK46"/>
  <c r="AK74"/>
  <c r="AK39"/>
  <c r="AK49"/>
  <c r="AK30"/>
  <c r="AK54"/>
  <c r="AK69"/>
  <c r="AK50"/>
  <c r="AK76"/>
  <c r="AK61"/>
  <c r="AK26"/>
  <c r="AK33"/>
  <c r="AK57"/>
  <c r="AK37"/>
  <c r="AK28"/>
  <c r="X44" i="53"/>
  <c r="AK21" i="51"/>
  <c r="AK31"/>
  <c r="AK42"/>
  <c r="AK36"/>
  <c r="AK79"/>
  <c r="AK60"/>
  <c r="AK29"/>
  <c r="AK77"/>
  <c r="AK63"/>
  <c r="AK59"/>
  <c r="AK70"/>
  <c r="AK45"/>
  <c r="AK75"/>
  <c r="AK22"/>
  <c r="AK24"/>
  <c r="AK68"/>
  <c r="AK64"/>
  <c r="AK56"/>
  <c r="AK34"/>
  <c r="AK41"/>
  <c r="AK71"/>
  <c r="AK20"/>
  <c r="AW20"/>
  <c r="P20"/>
  <c r="N20"/>
  <c r="AV20"/>
  <c r="AN20"/>
  <c r="AQ20"/>
  <c r="BB20" i="52"/>
  <c r="BD20" s="1"/>
  <c r="AO20"/>
  <c r="AP20"/>
  <c r="I34" i="9"/>
  <c r="F34" s="1"/>
  <c r="H34"/>
  <c r="E34" l="1"/>
  <c r="B34" i="28" s="1"/>
  <c r="U23" i="54"/>
  <c r="U23" i="49"/>
  <c r="R23" i="52"/>
  <c r="U23" i="48"/>
  <c r="R23" i="51"/>
  <c r="O23" i="53" s="1"/>
  <c r="S21" i="48"/>
  <c r="AI21" s="1"/>
  <c r="AF20" i="49"/>
  <c r="Q21" s="1"/>
  <c r="AA21" s="1"/>
  <c r="AJ20"/>
  <c r="F20" i="26" s="1"/>
  <c r="AD20" i="49"/>
  <c r="S20" i="52"/>
  <c r="T20" s="1"/>
  <c r="Q20" i="53"/>
  <c r="F20" i="28" s="1"/>
  <c r="AR20" i="52"/>
  <c r="AU20" s="1"/>
  <c r="M20" s="1"/>
  <c r="O20" s="1"/>
  <c r="AZ20"/>
  <c r="Z20" i="53"/>
  <c r="AF20" i="54"/>
  <c r="Q21" s="1"/>
  <c r="S21" s="1"/>
  <c r="AJ20"/>
  <c r="G20" i="26" s="1"/>
  <c r="AX20" i="51"/>
  <c r="AX21" s="1"/>
  <c r="AX22" s="1"/>
  <c r="AX23" s="1"/>
  <c r="AX24" s="1"/>
  <c r="AX25" s="1"/>
  <c r="AX26" s="1"/>
  <c r="AX27" s="1"/>
  <c r="AX28" s="1"/>
  <c r="AX29" s="1"/>
  <c r="AX30" s="1"/>
  <c r="AX31" s="1"/>
  <c r="AP20"/>
  <c r="BB20"/>
  <c r="BD20" s="1"/>
  <c r="AO20"/>
  <c r="AR20" s="1"/>
  <c r="S20"/>
  <c r="T20" s="1"/>
  <c r="Q20"/>
  <c r="AY20" i="52"/>
  <c r="I35" i="9"/>
  <c r="F35" s="1"/>
  <c r="H35"/>
  <c r="E35" l="1"/>
  <c r="B35" i="28" s="1"/>
  <c r="U24" i="49"/>
  <c r="R24" i="51"/>
  <c r="O24" i="53" s="1"/>
  <c r="U24" i="54"/>
  <c r="R24" i="52"/>
  <c r="U24" i="48"/>
  <c r="V21"/>
  <c r="X21" s="1"/>
  <c r="T21"/>
  <c r="Z21" s="1"/>
  <c r="AB21" s="1"/>
  <c r="AJ21" s="1"/>
  <c r="E21" i="26" s="1"/>
  <c r="K20"/>
  <c r="S21" i="49"/>
  <c r="V21" s="1"/>
  <c r="X21" s="1"/>
  <c r="AS20" i="52"/>
  <c r="AM21" s="1"/>
  <c r="AN21" s="1"/>
  <c r="BE20"/>
  <c r="AA21" i="54"/>
  <c r="AY20" i="51"/>
  <c r="AZ20"/>
  <c r="AS20"/>
  <c r="AM21" s="1"/>
  <c r="AU20"/>
  <c r="M20" s="1"/>
  <c r="O20" s="1"/>
  <c r="Y20" i="53" s="1"/>
  <c r="M20" s="1"/>
  <c r="BE20" i="51"/>
  <c r="U20" i="52"/>
  <c r="W20"/>
  <c r="L21" s="1"/>
  <c r="AW21" s="1"/>
  <c r="Z20"/>
  <c r="V21" i="54"/>
  <c r="X21" s="1"/>
  <c r="AI21"/>
  <c r="T21"/>
  <c r="Z21" s="1"/>
  <c r="I36" i="9"/>
  <c r="F36" s="1"/>
  <c r="H36"/>
  <c r="E36" l="1"/>
  <c r="B36" i="28" s="1"/>
  <c r="U25" i="49"/>
  <c r="R25" i="52"/>
  <c r="U25" i="54"/>
  <c r="R25" i="51"/>
  <c r="O25" i="53" s="1"/>
  <c r="U25" i="48"/>
  <c r="AF21"/>
  <c r="Q22" s="1"/>
  <c r="S22" s="1"/>
  <c r="AI22" s="1"/>
  <c r="AD21"/>
  <c r="AI21" i="49"/>
  <c r="AQ21" i="52"/>
  <c r="T21" i="49"/>
  <c r="Z21" s="1"/>
  <c r="AB21" s="1"/>
  <c r="AF21" s="1"/>
  <c r="Q22" s="1"/>
  <c r="AA22" s="1"/>
  <c r="AB21" i="54"/>
  <c r="AD21" s="1"/>
  <c r="AN21" i="51"/>
  <c r="AQ21"/>
  <c r="W20"/>
  <c r="L21" s="1"/>
  <c r="Z20"/>
  <c r="AA20" s="1"/>
  <c r="U20"/>
  <c r="AV21" i="52"/>
  <c r="R20" i="53"/>
  <c r="G20" i="28" s="1"/>
  <c r="T20" i="53"/>
  <c r="D20" i="28"/>
  <c r="AG20" i="53"/>
  <c r="AA20" i="52"/>
  <c r="BB21"/>
  <c r="BD21" s="1"/>
  <c r="AP21"/>
  <c r="AO21"/>
  <c r="N21"/>
  <c r="P21"/>
  <c r="Q21" s="1"/>
  <c r="I37" i="9"/>
  <c r="F37" s="1"/>
  <c r="H37"/>
  <c r="E37" l="1"/>
  <c r="B37" i="28" s="1"/>
  <c r="R26" i="52"/>
  <c r="U26" i="49"/>
  <c r="U26" i="54"/>
  <c r="U26" i="48"/>
  <c r="R26" i="51"/>
  <c r="O26" i="53" s="1"/>
  <c r="T22" i="48"/>
  <c r="Z22" s="1"/>
  <c r="AA22"/>
  <c r="V22"/>
  <c r="X22" s="1"/>
  <c r="AR21" i="52"/>
  <c r="AU21" s="1"/>
  <c r="M21" s="1"/>
  <c r="O21" s="1"/>
  <c r="AJ21" i="49"/>
  <c r="F21" i="26" s="1"/>
  <c r="AD21" i="49"/>
  <c r="AJ21" i="54"/>
  <c r="G21" i="26" s="1"/>
  <c r="AF21" i="54"/>
  <c r="Q22" s="1"/>
  <c r="AA22" s="1"/>
  <c r="AO21" i="51"/>
  <c r="AR21" s="1"/>
  <c r="BB21"/>
  <c r="BD21" s="1"/>
  <c r="AP21"/>
  <c r="P21"/>
  <c r="AW21"/>
  <c r="AV21"/>
  <c r="N21"/>
  <c r="S22" i="49"/>
  <c r="V22" s="1"/>
  <c r="I20" i="28"/>
  <c r="V21" i="53"/>
  <c r="L21" s="1"/>
  <c r="S21" i="52"/>
  <c r="T21" s="1"/>
  <c r="I38" i="9"/>
  <c r="F38" s="1"/>
  <c r="AY21" i="52"/>
  <c r="AZ21"/>
  <c r="H38" i="9"/>
  <c r="E38" l="1"/>
  <c r="B38" i="28" s="1"/>
  <c r="R27" i="52"/>
  <c r="U27" i="54"/>
  <c r="U27" i="49"/>
  <c r="U27" i="48"/>
  <c r="R27" i="51"/>
  <c r="O27" i="53" s="1"/>
  <c r="AB22" i="48"/>
  <c r="AJ22" s="1"/>
  <c r="E22" i="26" s="1"/>
  <c r="BE21" i="52"/>
  <c r="AS21"/>
  <c r="AM22" s="1"/>
  <c r="AQ22" s="1"/>
  <c r="K21" i="26"/>
  <c r="S22" i="54"/>
  <c r="AI22" s="1"/>
  <c r="S21" i="51"/>
  <c r="T21" s="1"/>
  <c r="Q21"/>
  <c r="AS21"/>
  <c r="AM22" s="1"/>
  <c r="BE21"/>
  <c r="AU21"/>
  <c r="M21" s="1"/>
  <c r="O21" s="1"/>
  <c r="Z21" i="52"/>
  <c r="AA21" s="1"/>
  <c r="AI22" i="49"/>
  <c r="T22"/>
  <c r="Z22" s="1"/>
  <c r="AB22" s="1"/>
  <c r="AF22" s="1"/>
  <c r="W21" i="52"/>
  <c r="L22" s="1"/>
  <c r="AW22" s="1"/>
  <c r="U21"/>
  <c r="C21" i="28"/>
  <c r="N21" i="53"/>
  <c r="I39" i="9"/>
  <c r="F39" s="1"/>
  <c r="X22" i="49"/>
  <c r="H39" i="9"/>
  <c r="E39" l="1"/>
  <c r="B39" i="28" s="1"/>
  <c r="U28" i="54"/>
  <c r="R28" i="51"/>
  <c r="O28" i="53" s="1"/>
  <c r="R28" i="52"/>
  <c r="U28" i="48"/>
  <c r="U28" i="49"/>
  <c r="AF22" i="48"/>
  <c r="Q23" s="1"/>
  <c r="S23" s="1"/>
  <c r="AI23" s="1"/>
  <c r="AD22"/>
  <c r="AN22" i="52"/>
  <c r="BB22" s="1"/>
  <c r="BD22" s="1"/>
  <c r="T22" i="54"/>
  <c r="Z22" s="1"/>
  <c r="AB22" s="1"/>
  <c r="AF22" s="1"/>
  <c r="Q23" s="1"/>
  <c r="V22"/>
  <c r="X22" s="1"/>
  <c r="Z21" i="51"/>
  <c r="AA21" s="1"/>
  <c r="W21"/>
  <c r="L22" s="1"/>
  <c r="AZ21"/>
  <c r="AY21"/>
  <c r="AN22"/>
  <c r="AQ22"/>
  <c r="Y21" i="53"/>
  <c r="M21" s="1"/>
  <c r="D21" i="28" s="1"/>
  <c r="U21" i="51"/>
  <c r="AG21" i="53"/>
  <c r="AJ22" i="49"/>
  <c r="F22" i="26" s="1"/>
  <c r="AD22" i="49"/>
  <c r="AV22" i="52"/>
  <c r="P22"/>
  <c r="N22"/>
  <c r="P21" i="53"/>
  <c r="Z21"/>
  <c r="I40" i="9"/>
  <c r="F40" s="1"/>
  <c r="Q23" i="49"/>
  <c r="H40" i="9"/>
  <c r="E40" l="1"/>
  <c r="B40" i="28" s="1"/>
  <c r="U29" i="48"/>
  <c r="R29" i="52"/>
  <c r="R29" i="51"/>
  <c r="O29" i="53" s="1"/>
  <c r="U29" i="54"/>
  <c r="U29" i="49"/>
  <c r="V23" i="48"/>
  <c r="X23" s="1"/>
  <c r="T23"/>
  <c r="Z23" s="1"/>
  <c r="AA23"/>
  <c r="AO22" i="52"/>
  <c r="AR22" s="1"/>
  <c r="BE22" s="1"/>
  <c r="AP22"/>
  <c r="AJ22" i="54"/>
  <c r="G22" i="26" s="1"/>
  <c r="K22" s="1"/>
  <c r="AD22" i="54"/>
  <c r="T21" i="53"/>
  <c r="I21" i="28" s="1"/>
  <c r="BB22" i="51"/>
  <c r="BD22" s="1"/>
  <c r="AO22"/>
  <c r="AR22" s="1"/>
  <c r="AP22"/>
  <c r="AW22"/>
  <c r="P22"/>
  <c r="AV22"/>
  <c r="N22"/>
  <c r="Q22" i="52"/>
  <c r="S22"/>
  <c r="T22" s="1"/>
  <c r="E21" i="28"/>
  <c r="Q21" i="53"/>
  <c r="I41" i="9"/>
  <c r="F41" s="1"/>
  <c r="S23" i="49"/>
  <c r="AA23"/>
  <c r="AA23" i="54"/>
  <c r="S23"/>
  <c r="H41" i="9"/>
  <c r="C30" i="48"/>
  <c r="C30" i="54"/>
  <c r="C30" i="49"/>
  <c r="E41" i="9" l="1"/>
  <c r="B41" i="28" s="1"/>
  <c r="F37" i="49"/>
  <c r="F37" i="54"/>
  <c r="F37" i="48"/>
  <c r="U30" i="49"/>
  <c r="U30" i="54"/>
  <c r="R30" i="52"/>
  <c r="U30" i="48"/>
  <c r="R30" i="51"/>
  <c r="O30" i="53" s="1"/>
  <c r="AB23" i="48"/>
  <c r="AJ23" s="1"/>
  <c r="E23" i="26" s="1"/>
  <c r="AS22" i="52"/>
  <c r="AM23" s="1"/>
  <c r="AN23" s="1"/>
  <c r="AU22"/>
  <c r="M22" s="1"/>
  <c r="O22" s="1"/>
  <c r="U22" s="1"/>
  <c r="V22" i="53"/>
  <c r="L22" s="1"/>
  <c r="C22" i="28" s="1"/>
  <c r="Q22" i="51"/>
  <c r="S22"/>
  <c r="T22" s="1"/>
  <c r="BE22"/>
  <c r="AS22"/>
  <c r="AM23" s="1"/>
  <c r="AU22"/>
  <c r="M22" s="1"/>
  <c r="O22" s="1"/>
  <c r="AZ22" i="52"/>
  <c r="AY22"/>
  <c r="R21" i="53"/>
  <c r="G21" i="28" s="1"/>
  <c r="F21"/>
  <c r="I42" i="9"/>
  <c r="F42" s="1"/>
  <c r="T23" i="54"/>
  <c r="Z23" s="1"/>
  <c r="AB23" s="1"/>
  <c r="AI23"/>
  <c r="V23"/>
  <c r="V23" i="49"/>
  <c r="AI23"/>
  <c r="T23"/>
  <c r="Z23" s="1"/>
  <c r="AB23" s="1"/>
  <c r="H42" i="9"/>
  <c r="E42" l="1"/>
  <c r="B42" i="28" s="1"/>
  <c r="U31" i="54"/>
  <c r="R31" i="52"/>
  <c r="U31" i="48"/>
  <c r="U31" i="49"/>
  <c r="R31" i="51"/>
  <c r="O31" i="53" s="1"/>
  <c r="AD23" i="48"/>
  <c r="AF23"/>
  <c r="Q24" s="1"/>
  <c r="S24" s="1"/>
  <c r="Y22" i="53"/>
  <c r="AQ23" i="52"/>
  <c r="Z22"/>
  <c r="AA22" s="1"/>
  <c r="W22"/>
  <c r="L23" s="1"/>
  <c r="AV23" s="1"/>
  <c r="M22" i="53"/>
  <c r="D22" i="28" s="1"/>
  <c r="N22" i="53"/>
  <c r="P22" s="1"/>
  <c r="AZ22" i="51"/>
  <c r="AY22"/>
  <c r="Z22"/>
  <c r="AA22" s="1"/>
  <c r="U22"/>
  <c r="W22"/>
  <c r="L23" s="1"/>
  <c r="AN23"/>
  <c r="AQ23"/>
  <c r="BB23" i="52"/>
  <c r="BD23" s="1"/>
  <c r="AP23"/>
  <c r="AO23"/>
  <c r="I43" i="9"/>
  <c r="F43" s="1"/>
  <c r="X23" i="49"/>
  <c r="AD23" s="1"/>
  <c r="X23" i="54"/>
  <c r="AD23" s="1"/>
  <c r="AJ23"/>
  <c r="G23" i="26" s="1"/>
  <c r="AF23" i="54"/>
  <c r="AJ23" i="49"/>
  <c r="F23" i="26" s="1"/>
  <c r="AF23" i="49"/>
  <c r="H43" i="9"/>
  <c r="C32" i="52"/>
  <c r="C32" i="51"/>
  <c r="E43" i="9" l="1"/>
  <c r="B43" i="28" s="1"/>
  <c r="F43" i="51"/>
  <c r="F43" i="52"/>
  <c r="U32" i="49"/>
  <c r="R32" i="52"/>
  <c r="U32" i="48"/>
  <c r="R32" i="51"/>
  <c r="O32" i="53" s="1"/>
  <c r="U32" i="54"/>
  <c r="AA24" i="48"/>
  <c r="AR23" i="52"/>
  <c r="AU23" s="1"/>
  <c r="M23" s="1"/>
  <c r="AG22" i="53"/>
  <c r="N23" i="52"/>
  <c r="P23"/>
  <c r="Q23" s="1"/>
  <c r="AY23" s="1"/>
  <c r="AW23"/>
  <c r="Z22" i="53"/>
  <c r="T22"/>
  <c r="V23" s="1"/>
  <c r="L23" s="1"/>
  <c r="AW23" i="51"/>
  <c r="P23"/>
  <c r="N23"/>
  <c r="AV23"/>
  <c r="AO23"/>
  <c r="AR23" s="1"/>
  <c r="AP23"/>
  <c r="BB23"/>
  <c r="BD23" s="1"/>
  <c r="E22" i="28"/>
  <c r="Q22" i="53"/>
  <c r="F22" i="28" s="1"/>
  <c r="K23" i="26"/>
  <c r="I44" i="9"/>
  <c r="F44" s="1"/>
  <c r="V24" i="48"/>
  <c r="T24"/>
  <c r="Z24" s="1"/>
  <c r="AI24"/>
  <c r="Q24" i="54"/>
  <c r="Q24" i="49"/>
  <c r="H44" i="9"/>
  <c r="E44" l="1"/>
  <c r="B44" i="28" s="1"/>
  <c r="U33" i="54"/>
  <c r="U33" i="48"/>
  <c r="R33" i="52"/>
  <c r="R33" i="51"/>
  <c r="O33" i="53" s="1"/>
  <c r="U33" i="49"/>
  <c r="AB24" i="48"/>
  <c r="AJ24" s="1"/>
  <c r="E24" i="26" s="1"/>
  <c r="AS23" i="52"/>
  <c r="AM24" s="1"/>
  <c r="AN24" s="1"/>
  <c r="S23"/>
  <c r="T23" s="1"/>
  <c r="BE23"/>
  <c r="AZ23"/>
  <c r="O23"/>
  <c r="W23" s="1"/>
  <c r="L24" s="1"/>
  <c r="P24" s="1"/>
  <c r="Q24" s="1"/>
  <c r="I22" i="28"/>
  <c r="AS23" i="51"/>
  <c r="AM24" s="1"/>
  <c r="AU23"/>
  <c r="M23" s="1"/>
  <c r="O23" s="1"/>
  <c r="BE23"/>
  <c r="S23"/>
  <c r="T23" s="1"/>
  <c r="Q23"/>
  <c r="R22" i="53"/>
  <c r="G22" i="28" s="1"/>
  <c r="C23"/>
  <c r="N23" i="53"/>
  <c r="I45" i="9"/>
  <c r="F45" s="1"/>
  <c r="X24" i="48"/>
  <c r="AA24" i="49"/>
  <c r="S24"/>
  <c r="AA24" i="54"/>
  <c r="S24"/>
  <c r="H45" i="9"/>
  <c r="E45" l="1"/>
  <c r="B45" i="28" s="1"/>
  <c r="R34" i="52"/>
  <c r="U34" i="49"/>
  <c r="U34" i="48"/>
  <c r="R34" i="51"/>
  <c r="O34" i="53" s="1"/>
  <c r="U34" i="54"/>
  <c r="AF24" i="48"/>
  <c r="Q25" s="1"/>
  <c r="AD24"/>
  <c r="AQ24" i="52"/>
  <c r="AW24"/>
  <c r="S24"/>
  <c r="T24" s="1"/>
  <c r="N24"/>
  <c r="Z23"/>
  <c r="AA23" s="1"/>
  <c r="U23"/>
  <c r="Y23" i="53"/>
  <c r="M23" s="1"/>
  <c r="T23" s="1"/>
  <c r="V24" s="1"/>
  <c r="L24" s="1"/>
  <c r="AV24" i="52"/>
  <c r="U23" i="51"/>
  <c r="AZ23"/>
  <c r="AY23"/>
  <c r="AQ24"/>
  <c r="AN24"/>
  <c r="Z23"/>
  <c r="AA23" s="1"/>
  <c r="W23"/>
  <c r="L24" s="1"/>
  <c r="Z23" i="53"/>
  <c r="P23"/>
  <c r="BB24" i="52"/>
  <c r="BD24" s="1"/>
  <c r="AP24"/>
  <c r="AO24"/>
  <c r="I46" i="9"/>
  <c r="F46" s="1"/>
  <c r="AY24" i="52"/>
  <c r="AZ24"/>
  <c r="T24" i="54"/>
  <c r="Z24" s="1"/>
  <c r="AB24" s="1"/>
  <c r="V24"/>
  <c r="AI24"/>
  <c r="V24" i="49"/>
  <c r="T24"/>
  <c r="Z24" s="1"/>
  <c r="AB24" s="1"/>
  <c r="AI24"/>
  <c r="H46" i="9"/>
  <c r="E46" l="1"/>
  <c r="B46" i="28" s="1"/>
  <c r="U35" i="48"/>
  <c r="U35" i="49"/>
  <c r="R35" i="51"/>
  <c r="O35" i="53" s="1"/>
  <c r="R35" i="52"/>
  <c r="U35" i="54"/>
  <c r="AR24" i="52"/>
  <c r="AU24" s="1"/>
  <c r="M24" s="1"/>
  <c r="O24" s="1"/>
  <c r="D23" i="28"/>
  <c r="AG23" i="53"/>
  <c r="AO24" i="51"/>
  <c r="AR24" s="1"/>
  <c r="AP24"/>
  <c r="BB24"/>
  <c r="BD24" s="1"/>
  <c r="AV24"/>
  <c r="N24"/>
  <c r="P24"/>
  <c r="AW24"/>
  <c r="I23" i="28"/>
  <c r="Q23" i="53"/>
  <c r="E23" i="28"/>
  <c r="I47" i="9"/>
  <c r="F47" s="1"/>
  <c r="X24" i="49"/>
  <c r="AD24" s="1"/>
  <c r="X24" i="54"/>
  <c r="AD24" s="1"/>
  <c r="C24" i="28"/>
  <c r="N24" i="53"/>
  <c r="AJ24" i="54"/>
  <c r="G24" i="26" s="1"/>
  <c r="AF24" i="54"/>
  <c r="AJ24" i="49"/>
  <c r="F24" i="26" s="1"/>
  <c r="AF24" i="49"/>
  <c r="S25" i="48"/>
  <c r="AA25"/>
  <c r="H47" i="9"/>
  <c r="E47" l="1"/>
  <c r="B47" i="28" s="1"/>
  <c r="U36" i="48"/>
  <c r="R36" i="52"/>
  <c r="U36" i="54"/>
  <c r="U36" i="49"/>
  <c r="R36" i="51"/>
  <c r="O36" i="53" s="1"/>
  <c r="AS24" i="52"/>
  <c r="AM25" s="1"/>
  <c r="AN25" s="1"/>
  <c r="BE24"/>
  <c r="AS24" i="51"/>
  <c r="AM25" s="1"/>
  <c r="BE24"/>
  <c r="AU24"/>
  <c r="M24" s="1"/>
  <c r="O24" s="1"/>
  <c r="Y24" i="53" s="1"/>
  <c r="M24" s="1"/>
  <c r="S24" i="51"/>
  <c r="T24" s="1"/>
  <c r="Q24"/>
  <c r="K24" i="26"/>
  <c r="F23" i="28"/>
  <c r="R23" i="53"/>
  <c r="G23" i="28" s="1"/>
  <c r="Z24" i="52"/>
  <c r="W24"/>
  <c r="L25" s="1"/>
  <c r="P25" s="1"/>
  <c r="U24"/>
  <c r="I48" i="9"/>
  <c r="F48" s="1"/>
  <c r="Z24" i="53"/>
  <c r="P24"/>
  <c r="AI25" i="48"/>
  <c r="V25"/>
  <c r="T25"/>
  <c r="Z25" s="1"/>
  <c r="AB25" s="1"/>
  <c r="Q25" i="49"/>
  <c r="Q25" i="54"/>
  <c r="H48" i="9"/>
  <c r="E48" l="1"/>
  <c r="B48" i="28" s="1"/>
  <c r="U37" i="49"/>
  <c r="U37" i="48"/>
  <c r="R37" i="51"/>
  <c r="O37" i="53" s="1"/>
  <c r="R37" i="52"/>
  <c r="U37" i="54"/>
  <c r="AQ25" i="52"/>
  <c r="AN25" i="51"/>
  <c r="AQ25"/>
  <c r="AZ24"/>
  <c r="AY24"/>
  <c r="W24"/>
  <c r="L25" s="1"/>
  <c r="Z24"/>
  <c r="AA24" s="1"/>
  <c r="U24"/>
  <c r="N25" i="52"/>
  <c r="AW25"/>
  <c r="AV25"/>
  <c r="AP25"/>
  <c r="AO25"/>
  <c r="AR25" s="1"/>
  <c r="BB25"/>
  <c r="BD25" s="1"/>
  <c r="T24" i="53"/>
  <c r="D24" i="28"/>
  <c r="AA24" i="52"/>
  <c r="AG24" i="53"/>
  <c r="I49" i="9"/>
  <c r="F49" s="1"/>
  <c r="X25" i="48"/>
  <c r="AD25" s="1"/>
  <c r="E24" i="28"/>
  <c r="Q24" i="53"/>
  <c r="S25" i="52"/>
  <c r="Q25"/>
  <c r="S25" i="49"/>
  <c r="AA25"/>
  <c r="AA25" i="54"/>
  <c r="S25"/>
  <c r="AJ25" i="48"/>
  <c r="E25" i="26" s="1"/>
  <c r="AF25" i="48"/>
  <c r="Q26" s="1"/>
  <c r="H49" i="9"/>
  <c r="E49" l="1"/>
  <c r="B49" i="28" s="1"/>
  <c r="R38" i="52"/>
  <c r="U38" i="49"/>
  <c r="R38" i="51"/>
  <c r="O38" i="53" s="1"/>
  <c r="U38" i="54"/>
  <c r="U38" i="48"/>
  <c r="AP25" i="51"/>
  <c r="AO25"/>
  <c r="AR25" s="1"/>
  <c r="BB25"/>
  <c r="BD25" s="1"/>
  <c r="N25"/>
  <c r="AV25"/>
  <c r="P25"/>
  <c r="AW25"/>
  <c r="BE25" i="52"/>
  <c r="AU25"/>
  <c r="M25" s="1"/>
  <c r="O25" s="1"/>
  <c r="W25" s="1"/>
  <c r="L26" s="1"/>
  <c r="P26" s="1"/>
  <c r="AS25"/>
  <c r="AM26" s="1"/>
  <c r="I24" i="28"/>
  <c r="V25" i="53"/>
  <c r="L25" s="1"/>
  <c r="I50" i="9"/>
  <c r="F50" s="1"/>
  <c r="F24" i="28"/>
  <c r="T25" i="52"/>
  <c r="R24" i="53"/>
  <c r="G24" i="28" s="1"/>
  <c r="AA26" i="48"/>
  <c r="S26"/>
  <c r="T25" i="49"/>
  <c r="Z25" s="1"/>
  <c r="AB25" s="1"/>
  <c r="AI25"/>
  <c r="V25"/>
  <c r="V25" i="54"/>
  <c r="T25"/>
  <c r="Z25" s="1"/>
  <c r="AB25" s="1"/>
  <c r="AI25"/>
  <c r="AY25" i="52"/>
  <c r="AZ25"/>
  <c r="H50" i="9"/>
  <c r="E50" l="1"/>
  <c r="B50" i="28" s="1"/>
  <c r="U39" i="49"/>
  <c r="R39" i="51"/>
  <c r="O39" i="53" s="1"/>
  <c r="R39" i="52"/>
  <c r="U39" i="48"/>
  <c r="U39" i="54"/>
  <c r="Q25" i="51"/>
  <c r="S25"/>
  <c r="T25" s="1"/>
  <c r="AU25"/>
  <c r="M25" s="1"/>
  <c r="O25" s="1"/>
  <c r="Y25" i="53" s="1"/>
  <c r="M25" s="1"/>
  <c r="BE25" i="51"/>
  <c r="AS25"/>
  <c r="AM26" s="1"/>
  <c r="Z25" i="52"/>
  <c r="AN26"/>
  <c r="AQ26"/>
  <c r="C25" i="28"/>
  <c r="N25" i="53"/>
  <c r="N26" i="52"/>
  <c r="AW26"/>
  <c r="U25"/>
  <c r="AV26"/>
  <c r="I51" i="9"/>
  <c r="F51" s="1"/>
  <c r="X25" i="54"/>
  <c r="AD25" s="1"/>
  <c r="X25" i="49"/>
  <c r="AD25" s="1"/>
  <c r="AJ25"/>
  <c r="F25" i="26" s="1"/>
  <c r="AF25" i="49"/>
  <c r="Q26" s="1"/>
  <c r="Q26" i="52"/>
  <c r="S26"/>
  <c r="T26" s="1"/>
  <c r="V26" i="48"/>
  <c r="X26" s="1"/>
  <c r="T26"/>
  <c r="Z26" s="1"/>
  <c r="AB26" s="1"/>
  <c r="AI26"/>
  <c r="AJ25" i="54"/>
  <c r="G25" i="26" s="1"/>
  <c r="AF25" i="54"/>
  <c r="Q26" s="1"/>
  <c r="H51" i="9"/>
  <c r="E51" l="1"/>
  <c r="B51" i="28" s="1"/>
  <c r="U40" i="54"/>
  <c r="U40" i="48"/>
  <c r="U40" i="49"/>
  <c r="R40" i="52"/>
  <c r="R40" i="51"/>
  <c r="O40" i="53" s="1"/>
  <c r="U25" i="51"/>
  <c r="AN26"/>
  <c r="AQ26"/>
  <c r="W25"/>
  <c r="L26" s="1"/>
  <c r="Z25"/>
  <c r="AA25" s="1"/>
  <c r="AZ25"/>
  <c r="AY25"/>
  <c r="P25" i="53"/>
  <c r="Z25"/>
  <c r="D25" i="28"/>
  <c r="T25" i="53"/>
  <c r="AO26" i="52"/>
  <c r="AR26" s="1"/>
  <c r="BB26"/>
  <c r="BD26" s="1"/>
  <c r="AP26"/>
  <c r="AA25"/>
  <c r="AG25" i="53"/>
  <c r="I52" i="9"/>
  <c r="F52" s="1"/>
  <c r="K25" i="26"/>
  <c r="AA26" i="54"/>
  <c r="S26"/>
  <c r="AJ26" i="48"/>
  <c r="E26" i="26" s="1"/>
  <c r="AD26" i="48"/>
  <c r="AF26"/>
  <c r="Q27" s="1"/>
  <c r="AA26" i="49"/>
  <c r="S26"/>
  <c r="AY26" i="52"/>
  <c r="AZ26"/>
  <c r="H52" i="9"/>
  <c r="E52" l="1"/>
  <c r="B52" i="28" s="1"/>
  <c r="U41" i="54"/>
  <c r="U41" i="49"/>
  <c r="R41" i="51"/>
  <c r="O41" i="53" s="1"/>
  <c r="U41" i="48"/>
  <c r="R41" i="52"/>
  <c r="AP26" i="51"/>
  <c r="BB26"/>
  <c r="BD26" s="1"/>
  <c r="AO26"/>
  <c r="AR26" s="1"/>
  <c r="AV26"/>
  <c r="N26"/>
  <c r="P26"/>
  <c r="AW26"/>
  <c r="V26" i="53"/>
  <c r="L26" s="1"/>
  <c r="I25" i="28"/>
  <c r="BE26" i="52"/>
  <c r="AS26"/>
  <c r="AM27" s="1"/>
  <c r="AU26"/>
  <c r="M26" s="1"/>
  <c r="O26" s="1"/>
  <c r="E25" i="28"/>
  <c r="Q25" i="53"/>
  <c r="I53" i="9"/>
  <c r="F53" s="1"/>
  <c r="T26" i="49"/>
  <c r="Z26" s="1"/>
  <c r="AB26" s="1"/>
  <c r="V26"/>
  <c r="X26" s="1"/>
  <c r="AI26"/>
  <c r="AA27" i="48"/>
  <c r="S27"/>
  <c r="T26" i="54"/>
  <c r="Z26" s="1"/>
  <c r="AB26" s="1"/>
  <c r="AI26"/>
  <c r="V26"/>
  <c r="X26" s="1"/>
  <c r="H53" i="9"/>
  <c r="E53" l="1"/>
  <c r="B53" i="28" s="1"/>
  <c r="U42" i="49"/>
  <c r="U42" i="48"/>
  <c r="R42" i="52"/>
  <c r="U42" i="54"/>
  <c r="R42" i="51"/>
  <c r="O42" i="53" s="1"/>
  <c r="S26" i="51"/>
  <c r="T26" s="1"/>
  <c r="Q26"/>
  <c r="AU26"/>
  <c r="M26" s="1"/>
  <c r="O26" s="1"/>
  <c r="Y26" i="53" s="1"/>
  <c r="M26" s="1"/>
  <c r="BE26" i="51"/>
  <c r="AS26"/>
  <c r="AM27" s="1"/>
  <c r="R25" i="53"/>
  <c r="G25" i="28" s="1"/>
  <c r="F25"/>
  <c r="AN27" i="52"/>
  <c r="AQ27"/>
  <c r="Z26"/>
  <c r="W26"/>
  <c r="L27" s="1"/>
  <c r="U26"/>
  <c r="N26" i="53"/>
  <c r="C26" i="28"/>
  <c r="I54" i="9"/>
  <c r="F54" s="1"/>
  <c r="T27" i="48"/>
  <c r="Z27" s="1"/>
  <c r="AB27" s="1"/>
  <c r="AI27"/>
  <c r="V27"/>
  <c r="X27" s="1"/>
  <c r="AJ26" i="49"/>
  <c r="F26" i="26" s="1"/>
  <c r="AD26" i="49"/>
  <c r="AF26"/>
  <c r="Q27" s="1"/>
  <c r="AD26" i="54"/>
  <c r="AJ26"/>
  <c r="G26" i="26" s="1"/>
  <c r="AF26" i="54"/>
  <c r="Q27" s="1"/>
  <c r="H54" i="9"/>
  <c r="E54" l="1"/>
  <c r="B54" i="28" s="1"/>
  <c r="R43" i="51"/>
  <c r="O43" i="53" s="1"/>
  <c r="U43" i="48"/>
  <c r="U43" i="49"/>
  <c r="U43" i="54"/>
  <c r="R43" i="52"/>
  <c r="AZ26" i="51"/>
  <c r="AY26"/>
  <c r="Z26"/>
  <c r="AA26" s="1"/>
  <c r="W26"/>
  <c r="L27" s="1"/>
  <c r="U26"/>
  <c r="AQ27"/>
  <c r="AN27"/>
  <c r="N27" i="52"/>
  <c r="P27"/>
  <c r="AW27"/>
  <c r="AV27"/>
  <c r="T26" i="53"/>
  <c r="D26" i="28"/>
  <c r="AP27" i="52"/>
  <c r="AO27"/>
  <c r="AR27" s="1"/>
  <c r="BB27"/>
  <c r="BD27" s="1"/>
  <c r="Z26" i="53"/>
  <c r="P26"/>
  <c r="AG26"/>
  <c r="AA26" i="52"/>
  <c r="I55" i="9"/>
  <c r="F55" s="1"/>
  <c r="K26" i="26"/>
  <c r="AA27" i="54"/>
  <c r="S27"/>
  <c r="AD27" i="48"/>
  <c r="AJ27"/>
  <c r="E27" i="26" s="1"/>
  <c r="AF27" i="48"/>
  <c r="Q28" s="1"/>
  <c r="AA27" i="49"/>
  <c r="S27"/>
  <c r="H55" i="9"/>
  <c r="E55" l="1"/>
  <c r="B55" i="28" s="1"/>
  <c r="U44" i="49"/>
  <c r="U44" i="48"/>
  <c r="R44" i="52"/>
  <c r="R44" i="51"/>
  <c r="O44" i="53" s="1"/>
  <c r="U44" i="54"/>
  <c r="AV27" i="51"/>
  <c r="AW27"/>
  <c r="N27"/>
  <c r="P27"/>
  <c r="AP27"/>
  <c r="BB27"/>
  <c r="BD27" s="1"/>
  <c r="AO27"/>
  <c r="AR27" s="1"/>
  <c r="Q27" i="52"/>
  <c r="S27"/>
  <c r="T27" s="1"/>
  <c r="Q26" i="53"/>
  <c r="F26" i="28" s="1"/>
  <c r="E26"/>
  <c r="AU27" i="52"/>
  <c r="M27" s="1"/>
  <c r="O27" s="1"/>
  <c r="AS27"/>
  <c r="AM28" s="1"/>
  <c r="BE27"/>
  <c r="V27" i="53"/>
  <c r="L27" s="1"/>
  <c r="I26" i="28"/>
  <c r="I56" i="9"/>
  <c r="F56" s="1"/>
  <c r="AA28" i="48"/>
  <c r="S28"/>
  <c r="V27" i="54"/>
  <c r="X27" s="1"/>
  <c r="AI27"/>
  <c r="T27"/>
  <c r="Z27" s="1"/>
  <c r="AB27" s="1"/>
  <c r="T27" i="49"/>
  <c r="Z27" s="1"/>
  <c r="AB27" s="1"/>
  <c r="AI27"/>
  <c r="V27"/>
  <c r="X27" s="1"/>
  <c r="H56" i="9"/>
  <c r="E56" l="1"/>
  <c r="B56" i="28" s="1"/>
  <c r="U45" i="48"/>
  <c r="U45" i="49"/>
  <c r="R45" i="52"/>
  <c r="R45" i="51"/>
  <c r="O45" i="53" s="1"/>
  <c r="U45" i="54"/>
  <c r="AU27" i="51"/>
  <c r="M27" s="1"/>
  <c r="O27" s="1"/>
  <c r="BE27"/>
  <c r="AS27"/>
  <c r="AM28" s="1"/>
  <c r="S27"/>
  <c r="T27" s="1"/>
  <c r="Q27"/>
  <c r="W27" i="52"/>
  <c r="L28" s="1"/>
  <c r="Z27"/>
  <c r="U27"/>
  <c r="AQ28"/>
  <c r="AN28"/>
  <c r="N27" i="53"/>
  <c r="C27" i="28"/>
  <c r="AY27" i="52"/>
  <c r="AZ27"/>
  <c r="R26" i="53"/>
  <c r="G26" i="28" s="1"/>
  <c r="I57" i="9"/>
  <c r="F57" s="1"/>
  <c r="AI28" i="48"/>
  <c r="V28"/>
  <c r="X28" s="1"/>
  <c r="T28"/>
  <c r="Z28" s="1"/>
  <c r="AB28" s="1"/>
  <c r="AD27" i="54"/>
  <c r="AJ27"/>
  <c r="G27" i="26" s="1"/>
  <c r="AF27" i="54"/>
  <c r="Q28" s="1"/>
  <c r="AD27" i="49"/>
  <c r="AJ27"/>
  <c r="F27" i="26" s="1"/>
  <c r="AF27" i="49"/>
  <c r="Q28" s="1"/>
  <c r="H57" i="9"/>
  <c r="E57" l="1"/>
  <c r="B57" i="28" s="1"/>
  <c r="U46" i="49"/>
  <c r="R46" i="52"/>
  <c r="U46" i="48"/>
  <c r="U46" i="54"/>
  <c r="R46" i="51"/>
  <c r="O46" i="53" s="1"/>
  <c r="AZ27" i="51"/>
  <c r="AY27"/>
  <c r="W27"/>
  <c r="L28" s="1"/>
  <c r="U27"/>
  <c r="Z27"/>
  <c r="AA27" s="1"/>
  <c r="Y27" i="53"/>
  <c r="M27" s="1"/>
  <c r="D27" i="28" s="1"/>
  <c r="AN28" i="51"/>
  <c r="AQ28"/>
  <c r="K27" i="26"/>
  <c r="AO28" i="52"/>
  <c r="AR28" s="1"/>
  <c r="AP28"/>
  <c r="BB28"/>
  <c r="BD28" s="1"/>
  <c r="AW28"/>
  <c r="P28"/>
  <c r="N28"/>
  <c r="AV28"/>
  <c r="Z27" i="53"/>
  <c r="P27"/>
  <c r="AG27"/>
  <c r="AA27" i="52"/>
  <c r="I58" i="9"/>
  <c r="F58" s="1"/>
  <c r="AJ28" i="48"/>
  <c r="E28" i="26" s="1"/>
  <c r="AD28" i="48"/>
  <c r="AF28"/>
  <c r="Q29" s="1"/>
  <c r="S28" i="49"/>
  <c r="AA28"/>
  <c r="AA28" i="54"/>
  <c r="S28"/>
  <c r="H58" i="9"/>
  <c r="E58" l="1"/>
  <c r="B58" i="28" s="1"/>
  <c r="U47" i="54"/>
  <c r="U47" i="49"/>
  <c r="R47" i="51"/>
  <c r="O47" i="53" s="1"/>
  <c r="U47" i="48"/>
  <c r="R47" i="52"/>
  <c r="T27" i="53"/>
  <c r="I27" i="28" s="1"/>
  <c r="BB28" i="51"/>
  <c r="BD28" s="1"/>
  <c r="AO28"/>
  <c r="AR28" s="1"/>
  <c r="AP28"/>
  <c r="AW28"/>
  <c r="P28"/>
  <c r="N28"/>
  <c r="AV28"/>
  <c r="V28" i="53"/>
  <c r="L28" s="1"/>
  <c r="E27" i="28"/>
  <c r="Q27" i="53"/>
  <c r="S28" i="52"/>
  <c r="T28" s="1"/>
  <c r="Q28"/>
  <c r="BE28"/>
  <c r="AU28"/>
  <c r="M28" s="1"/>
  <c r="O28" s="1"/>
  <c r="AS28"/>
  <c r="AM29" s="1"/>
  <c r="I59" i="9"/>
  <c r="F59" s="1"/>
  <c r="S29" i="48"/>
  <c r="AA29"/>
  <c r="T28" i="54"/>
  <c r="Z28" s="1"/>
  <c r="AB28" s="1"/>
  <c r="AI28"/>
  <c r="V28"/>
  <c r="X28" s="1"/>
  <c r="T28" i="49"/>
  <c r="Z28" s="1"/>
  <c r="AB28" s="1"/>
  <c r="AI28"/>
  <c r="V28"/>
  <c r="X28" s="1"/>
  <c r="H59" i="9"/>
  <c r="E59" l="1"/>
  <c r="B59" i="28" s="1"/>
  <c r="U48" i="54"/>
  <c r="R48" i="51"/>
  <c r="O48" i="53" s="1"/>
  <c r="U48" i="48"/>
  <c r="R48" i="52"/>
  <c r="U48" i="49"/>
  <c r="S28" i="51"/>
  <c r="T28" s="1"/>
  <c r="Q28"/>
  <c r="BE28"/>
  <c r="AU28"/>
  <c r="M28" s="1"/>
  <c r="O28" s="1"/>
  <c r="Y28" i="53" s="1"/>
  <c r="M28" s="1"/>
  <c r="AS28" i="51"/>
  <c r="AM29" s="1"/>
  <c r="AZ28" i="52"/>
  <c r="AY28"/>
  <c r="W28"/>
  <c r="L29" s="1"/>
  <c r="Z28"/>
  <c r="U28"/>
  <c r="F27" i="28"/>
  <c r="R27" i="53"/>
  <c r="G27" i="28" s="1"/>
  <c r="AN29" i="52"/>
  <c r="AQ29"/>
  <c r="N28" i="53"/>
  <c r="C28" i="28"/>
  <c r="I60" i="9"/>
  <c r="F60" s="1"/>
  <c r="AD28" i="49"/>
  <c r="AJ28"/>
  <c r="F28" i="26" s="1"/>
  <c r="AF28" i="49"/>
  <c r="Q29" s="1"/>
  <c r="AD28" i="54"/>
  <c r="AJ28"/>
  <c r="G28" i="26" s="1"/>
  <c r="AF28" i="54"/>
  <c r="Q29" s="1"/>
  <c r="T29" i="48"/>
  <c r="Z29" s="1"/>
  <c r="AB29" s="1"/>
  <c r="V29"/>
  <c r="X29" s="1"/>
  <c r="AI29"/>
  <c r="H60" i="9"/>
  <c r="E60" l="1"/>
  <c r="B60" i="28" s="1"/>
  <c r="U49" i="48"/>
  <c r="R49" i="51"/>
  <c r="O49" i="53" s="1"/>
  <c r="U49" i="54"/>
  <c r="R49" i="52"/>
  <c r="U49" i="49"/>
  <c r="AN29" i="51"/>
  <c r="AQ29"/>
  <c r="AZ28"/>
  <c r="AY28"/>
  <c r="W28"/>
  <c r="L29" s="1"/>
  <c r="U28"/>
  <c r="Z28"/>
  <c r="AA28" s="1"/>
  <c r="D28" i="28"/>
  <c r="T28" i="53"/>
  <c r="P28"/>
  <c r="Z28"/>
  <c r="P29" i="52"/>
  <c r="AV29"/>
  <c r="AW29"/>
  <c r="N29"/>
  <c r="AG28" i="53"/>
  <c r="AA28" i="52"/>
  <c r="BB29"/>
  <c r="BD29" s="1"/>
  <c r="AO29"/>
  <c r="AR29" s="1"/>
  <c r="AP29"/>
  <c r="I61" i="9"/>
  <c r="F61" s="1"/>
  <c r="K28" i="26"/>
  <c r="AJ29" i="48"/>
  <c r="E29" i="26" s="1"/>
  <c r="AD29" i="48"/>
  <c r="AF29"/>
  <c r="Q30" s="1"/>
  <c r="S29" i="54"/>
  <c r="AA29"/>
  <c r="S29" i="49"/>
  <c r="AA29"/>
  <c r="H61" i="9"/>
  <c r="E61" l="1"/>
  <c r="B61" i="28" s="1"/>
  <c r="U50" i="48"/>
  <c r="R50" i="52"/>
  <c r="R50" i="51"/>
  <c r="O50" i="53" s="1"/>
  <c r="U50" i="54"/>
  <c r="U50" i="49"/>
  <c r="N29" i="51"/>
  <c r="AV29"/>
  <c r="P29"/>
  <c r="AW29"/>
  <c r="AO29"/>
  <c r="AR29" s="1"/>
  <c r="BB29"/>
  <c r="BD29" s="1"/>
  <c r="AP29"/>
  <c r="I28" i="28"/>
  <c r="V29" i="53"/>
  <c r="L29" s="1"/>
  <c r="Q28"/>
  <c r="E28" i="28"/>
  <c r="AS29" i="52"/>
  <c r="AM30" s="1"/>
  <c r="AU29"/>
  <c r="M29" s="1"/>
  <c r="O29" s="1"/>
  <c r="BE29"/>
  <c r="S29"/>
  <c r="T29" s="1"/>
  <c r="Q29"/>
  <c r="I62" i="9"/>
  <c r="F62" s="1"/>
  <c r="S30" i="48"/>
  <c r="AA30"/>
  <c r="T29" i="49"/>
  <c r="Z29" s="1"/>
  <c r="AB29" s="1"/>
  <c r="AI29"/>
  <c r="V29"/>
  <c r="X29" s="1"/>
  <c r="V29" i="54"/>
  <c r="X29" s="1"/>
  <c r="T29"/>
  <c r="Z29" s="1"/>
  <c r="AB29" s="1"/>
  <c r="AI29"/>
  <c r="H62" i="9"/>
  <c r="E62" l="1"/>
  <c r="B62" i="28" s="1"/>
  <c r="U51" i="49"/>
  <c r="R51" i="51"/>
  <c r="O51" i="53" s="1"/>
  <c r="R51" i="52"/>
  <c r="U51" i="54"/>
  <c r="U51" i="48"/>
  <c r="AU29" i="51"/>
  <c r="M29" s="1"/>
  <c r="O29" s="1"/>
  <c r="Y29" i="53" s="1"/>
  <c r="M29" s="1"/>
  <c r="D29" i="28" s="1"/>
  <c r="BE29" i="51"/>
  <c r="AS29"/>
  <c r="AM30" s="1"/>
  <c r="S29"/>
  <c r="T29" s="1"/>
  <c r="Q29"/>
  <c r="W29" i="52"/>
  <c r="L30" s="1"/>
  <c r="Z29"/>
  <c r="U29"/>
  <c r="N29" i="53"/>
  <c r="C29" i="28"/>
  <c r="F28"/>
  <c r="R28" i="53"/>
  <c r="G28" i="28" s="1"/>
  <c r="AY29" i="52"/>
  <c r="AZ29"/>
  <c r="AN30"/>
  <c r="AQ30"/>
  <c r="I63" i="9"/>
  <c r="F63" s="1"/>
  <c r="AJ29" i="54"/>
  <c r="G29" i="26" s="1"/>
  <c r="AD29" i="54"/>
  <c r="AF29"/>
  <c r="Q30" s="1"/>
  <c r="AD29" i="49"/>
  <c r="AJ29"/>
  <c r="F29" i="26" s="1"/>
  <c r="AF29" i="49"/>
  <c r="Q30" s="1"/>
  <c r="T30" i="48"/>
  <c r="Z30" s="1"/>
  <c r="AB30" s="1"/>
  <c r="AI30"/>
  <c r="V30"/>
  <c r="X30" s="1"/>
  <c r="H63" i="9"/>
  <c r="E63" l="1"/>
  <c r="B63" i="28" s="1"/>
  <c r="K29" i="26"/>
  <c r="U52" i="49"/>
  <c r="U52" i="48"/>
  <c r="U52" i="54"/>
  <c r="R52" i="52"/>
  <c r="R52" i="51"/>
  <c r="O52" i="53" s="1"/>
  <c r="AZ29" i="51"/>
  <c r="AY29"/>
  <c r="AQ30"/>
  <c r="AN30"/>
  <c r="W29"/>
  <c r="L30" s="1"/>
  <c r="U29"/>
  <c r="Z29"/>
  <c r="AA29" s="1"/>
  <c r="T29" i="53"/>
  <c r="I29" i="28" s="1"/>
  <c r="N30" i="52"/>
  <c r="P30"/>
  <c r="AV30"/>
  <c r="AW30"/>
  <c r="AO30"/>
  <c r="AR30" s="1"/>
  <c r="BB30"/>
  <c r="BD30" s="1"/>
  <c r="AP30"/>
  <c r="AA29"/>
  <c r="AG29" i="53"/>
  <c r="P29"/>
  <c r="Z29"/>
  <c r="I64" i="9"/>
  <c r="F64" s="1"/>
  <c r="S30" i="49"/>
  <c r="AA30"/>
  <c r="AA30" i="54"/>
  <c r="S30"/>
  <c r="AD30" i="48"/>
  <c r="AJ30"/>
  <c r="E30" i="26" s="1"/>
  <c r="AF30" i="48"/>
  <c r="Q31" s="1"/>
  <c r="H64" i="9"/>
  <c r="E64" l="1"/>
  <c r="B64" i="28" s="1"/>
  <c r="U53" i="54"/>
  <c r="U53" i="49"/>
  <c r="U53" i="48"/>
  <c r="R53" i="52"/>
  <c r="R53" i="51"/>
  <c r="O53" i="53" s="1"/>
  <c r="P30" i="51"/>
  <c r="AW30"/>
  <c r="AV30"/>
  <c r="N30"/>
  <c r="AO30"/>
  <c r="AR30" s="1"/>
  <c r="BB30"/>
  <c r="BD30" s="1"/>
  <c r="AP30"/>
  <c r="V30" i="53"/>
  <c r="L30" s="1"/>
  <c r="C30" i="28" s="1"/>
  <c r="Q29" i="53"/>
  <c r="F29" i="28" s="1"/>
  <c r="E29"/>
  <c r="Q30" i="52"/>
  <c r="S30"/>
  <c r="T30" s="1"/>
  <c r="AU30"/>
  <c r="M30" s="1"/>
  <c r="O30" s="1"/>
  <c r="AS30"/>
  <c r="AM31" s="1"/>
  <c r="BE30"/>
  <c r="I65" i="9"/>
  <c r="F65" s="1"/>
  <c r="AI30" i="54"/>
  <c r="V30"/>
  <c r="X30" s="1"/>
  <c r="T30"/>
  <c r="Z30" s="1"/>
  <c r="AB30" s="1"/>
  <c r="AA31" i="48"/>
  <c r="S31"/>
  <c r="AI30" i="49"/>
  <c r="T30"/>
  <c r="Z30" s="1"/>
  <c r="AB30" s="1"/>
  <c r="V30"/>
  <c r="X30" s="1"/>
  <c r="H65" i="9"/>
  <c r="E65" l="1"/>
  <c r="B65" i="28" s="1"/>
  <c r="U54" i="49"/>
  <c r="U54" i="54"/>
  <c r="U54" i="48"/>
  <c r="R54" i="52"/>
  <c r="R54" i="51"/>
  <c r="O54" i="53" s="1"/>
  <c r="AU30" i="51"/>
  <c r="M30" s="1"/>
  <c r="O30" s="1"/>
  <c r="Y30" i="53" s="1"/>
  <c r="M30" s="1"/>
  <c r="AS30" i="51"/>
  <c r="AM31" s="1"/>
  <c r="BE30"/>
  <c r="S30"/>
  <c r="T30" s="1"/>
  <c r="Q30"/>
  <c r="N30" i="53"/>
  <c r="Z30" s="1"/>
  <c r="R29"/>
  <c r="G29" i="28" s="1"/>
  <c r="AQ31" i="52"/>
  <c r="AN31"/>
  <c r="AZ30"/>
  <c r="AY30"/>
  <c r="U30"/>
  <c r="W30"/>
  <c r="L31" s="1"/>
  <c r="Z30"/>
  <c r="I66" i="9"/>
  <c r="F66" s="1"/>
  <c r="AI31" i="48"/>
  <c r="V31"/>
  <c r="X31" s="1"/>
  <c r="T31"/>
  <c r="Z31" s="1"/>
  <c r="AB31" s="1"/>
  <c r="AD30" i="54"/>
  <c r="AJ30"/>
  <c r="G30" i="26" s="1"/>
  <c r="AF30" i="54"/>
  <c r="Q31" s="1"/>
  <c r="AD30" i="49"/>
  <c r="AJ30"/>
  <c r="F30" i="26" s="1"/>
  <c r="AF30" i="49"/>
  <c r="Q31" s="1"/>
  <c r="H66" i="9"/>
  <c r="E66" l="1"/>
  <c r="B66" i="28" s="1"/>
  <c r="U55" i="48"/>
  <c r="R55" i="52"/>
  <c r="U55" i="54"/>
  <c r="U55" i="49"/>
  <c r="R55" i="51"/>
  <c r="O55" i="53" s="1"/>
  <c r="U30" i="51"/>
  <c r="W30"/>
  <c r="L31" s="1"/>
  <c r="Z30"/>
  <c r="AA30" s="1"/>
  <c r="AQ31"/>
  <c r="AN31"/>
  <c r="AZ30"/>
  <c r="AY30"/>
  <c r="P30" i="53"/>
  <c r="E30" i="28" s="1"/>
  <c r="D30"/>
  <c r="T30" i="53"/>
  <c r="AO31" i="52"/>
  <c r="AR31" s="1"/>
  <c r="BB31"/>
  <c r="BD31" s="1"/>
  <c r="AP31"/>
  <c r="N31"/>
  <c r="P31"/>
  <c r="AV31"/>
  <c r="AW31"/>
  <c r="AG30" i="53"/>
  <c r="AA30" i="52"/>
  <c r="I67" i="9"/>
  <c r="F67" s="1"/>
  <c r="K30" i="26"/>
  <c r="AA31" i="49"/>
  <c r="S31"/>
  <c r="AD31" i="48"/>
  <c r="AJ31"/>
  <c r="E31" i="26" s="1"/>
  <c r="AF31" i="48"/>
  <c r="Q32" s="1"/>
  <c r="AA31" i="54"/>
  <c r="S31"/>
  <c r="H67" i="9"/>
  <c r="E67" l="1"/>
  <c r="B67" i="28" s="1"/>
  <c r="U56" i="54"/>
  <c r="R56" i="51"/>
  <c r="O56" i="53" s="1"/>
  <c r="U56" i="49"/>
  <c r="R56" i="52"/>
  <c r="U56" i="48"/>
  <c r="BB31" i="51"/>
  <c r="BD31" s="1"/>
  <c r="AO31"/>
  <c r="AR31" s="1"/>
  <c r="AP31"/>
  <c r="P31"/>
  <c r="AV31"/>
  <c r="N31"/>
  <c r="AW31"/>
  <c r="Q30" i="53"/>
  <c r="F30" i="28" s="1"/>
  <c r="V31" i="53"/>
  <c r="L31" s="1"/>
  <c r="I30" i="28"/>
  <c r="S31" i="52"/>
  <c r="T31" s="1"/>
  <c r="Q31"/>
  <c r="AU31"/>
  <c r="M31" s="1"/>
  <c r="O31" s="1"/>
  <c r="AS31"/>
  <c r="AM32" s="1"/>
  <c r="BE31"/>
  <c r="I68" i="9"/>
  <c r="F68" s="1"/>
  <c r="S32" i="48"/>
  <c r="AA32"/>
  <c r="AI31" i="54"/>
  <c r="V31"/>
  <c r="X31" s="1"/>
  <c r="T31"/>
  <c r="Z31" s="1"/>
  <c r="AB31" s="1"/>
  <c r="AI31" i="49"/>
  <c r="V31"/>
  <c r="X31" s="1"/>
  <c r="T31"/>
  <c r="Z31" s="1"/>
  <c r="AB31" s="1"/>
  <c r="H68" i="9"/>
  <c r="E68" l="1"/>
  <c r="B68" i="28" s="1"/>
  <c r="U57" i="54"/>
  <c r="U57" i="48"/>
  <c r="U57" i="49"/>
  <c r="R57" i="52"/>
  <c r="R57" i="51"/>
  <c r="O57" i="53" s="1"/>
  <c r="AU31" i="51"/>
  <c r="M31" s="1"/>
  <c r="O31" s="1"/>
  <c r="BE31"/>
  <c r="AS31"/>
  <c r="AM32" s="1"/>
  <c r="Q31"/>
  <c r="S31"/>
  <c r="T31" s="1"/>
  <c r="R30" i="53"/>
  <c r="G30" i="28" s="1"/>
  <c r="AQ32" i="52"/>
  <c r="AN32"/>
  <c r="AY31"/>
  <c r="AZ31"/>
  <c r="Z31"/>
  <c r="W31"/>
  <c r="L32" s="1"/>
  <c r="U31"/>
  <c r="C31" i="28"/>
  <c r="N31" i="53"/>
  <c r="I69" i="9"/>
  <c r="F69" s="1"/>
  <c r="AI32" i="48"/>
  <c r="T32"/>
  <c r="Z32" s="1"/>
  <c r="AB32" s="1"/>
  <c r="V32"/>
  <c r="X32" s="1"/>
  <c r="AD31" i="49"/>
  <c r="AJ31"/>
  <c r="F31" i="26" s="1"/>
  <c r="AF31" i="49"/>
  <c r="Q32" s="1"/>
  <c r="AD31" i="54"/>
  <c r="AJ31"/>
  <c r="G31" i="26" s="1"/>
  <c r="AF31" i="54"/>
  <c r="Q32" s="1"/>
  <c r="H69" i="9"/>
  <c r="E69" l="1"/>
  <c r="B69" i="28" s="1"/>
  <c r="U58" i="54"/>
  <c r="U58" i="48"/>
  <c r="R58" i="52"/>
  <c r="U58" i="49"/>
  <c r="R58" i="51"/>
  <c r="O58" i="53" s="1"/>
  <c r="W31" i="51"/>
  <c r="L32" s="1"/>
  <c r="U31"/>
  <c r="Z31"/>
  <c r="AA31" s="1"/>
  <c r="AB32" s="1"/>
  <c r="AN32"/>
  <c r="AQ32"/>
  <c r="AZ31"/>
  <c r="AY31"/>
  <c r="Y31" i="53"/>
  <c r="M31" s="1"/>
  <c r="T31" s="1"/>
  <c r="P31"/>
  <c r="Z31"/>
  <c r="AP32" i="52"/>
  <c r="AO32"/>
  <c r="AR32" s="1"/>
  <c r="BB32"/>
  <c r="BD32" s="1"/>
  <c r="AV32"/>
  <c r="N32"/>
  <c r="P32"/>
  <c r="AW32"/>
  <c r="AA31"/>
  <c r="AB32" s="1"/>
  <c r="AG31" i="53"/>
  <c r="K31" i="26"/>
  <c r="I70" i="9"/>
  <c r="F70" s="1"/>
  <c r="R69" i="52"/>
  <c r="U69" i="54"/>
  <c r="R69" i="51"/>
  <c r="O69" i="53" s="1"/>
  <c r="U69" i="49"/>
  <c r="U69" i="48"/>
  <c r="AA32" i="49"/>
  <c r="S32"/>
  <c r="AD32" i="48"/>
  <c r="AJ32"/>
  <c r="E32" i="26" s="1"/>
  <c r="AF32" i="48"/>
  <c r="Q33" s="1"/>
  <c r="AA32" i="54"/>
  <c r="S32"/>
  <c r="H70" i="9"/>
  <c r="E70" l="1"/>
  <c r="B70" i="28" s="1"/>
  <c r="U59" i="54"/>
  <c r="R59" i="52"/>
  <c r="R59" i="51"/>
  <c r="O59" i="53" s="1"/>
  <c r="U59" i="48"/>
  <c r="U59" i="49"/>
  <c r="D31" i="28"/>
  <c r="AV32" i="51"/>
  <c r="P32"/>
  <c r="AW32"/>
  <c r="N32"/>
  <c r="AP32"/>
  <c r="BB32"/>
  <c r="BD32" s="1"/>
  <c r="AO32"/>
  <c r="AR32" s="1"/>
  <c r="Q32" i="52"/>
  <c r="AZ32" s="1"/>
  <c r="S32"/>
  <c r="T32" s="1"/>
  <c r="AU32"/>
  <c r="M32" s="1"/>
  <c r="O32" s="1"/>
  <c r="AS32"/>
  <c r="AM33" s="1"/>
  <c r="BE32"/>
  <c r="I31" i="28"/>
  <c r="V32" i="53"/>
  <c r="L32" s="1"/>
  <c r="E31" i="28"/>
  <c r="Q31" i="53"/>
  <c r="AX32" i="52"/>
  <c r="I71" i="9"/>
  <c r="F71" s="1"/>
  <c r="U70" i="54"/>
  <c r="R70" i="51"/>
  <c r="O70" i="53" s="1"/>
  <c r="R70" i="52"/>
  <c r="U70" i="48"/>
  <c r="U70" i="49"/>
  <c r="AA33" i="48"/>
  <c r="S33"/>
  <c r="V32" i="54"/>
  <c r="X32" s="1"/>
  <c r="AI32"/>
  <c r="T32"/>
  <c r="Z32" s="1"/>
  <c r="AB32" s="1"/>
  <c r="T32" i="49"/>
  <c r="Z32" s="1"/>
  <c r="AB32" s="1"/>
  <c r="AI32"/>
  <c r="V32"/>
  <c r="X32" s="1"/>
  <c r="H71" i="9"/>
  <c r="E71" l="1"/>
  <c r="B71" i="28" s="1"/>
  <c r="U60" i="48"/>
  <c r="U60" i="49"/>
  <c r="R60" i="51"/>
  <c r="O60" i="53" s="1"/>
  <c r="R60" i="52"/>
  <c r="U60" i="54"/>
  <c r="AX32" i="51"/>
  <c r="AX33" s="1"/>
  <c r="AX34" s="1"/>
  <c r="AX35" s="1"/>
  <c r="AX36" s="1"/>
  <c r="AX37" s="1"/>
  <c r="AX38" s="1"/>
  <c r="AX39" s="1"/>
  <c r="AX40" s="1"/>
  <c r="AX41" s="1"/>
  <c r="AX42" s="1"/>
  <c r="AX43" s="1"/>
  <c r="AS32"/>
  <c r="AM33" s="1"/>
  <c r="BE32"/>
  <c r="AU32"/>
  <c r="M32" s="1"/>
  <c r="O32" s="1"/>
  <c r="Y32" i="53" s="1"/>
  <c r="M32" s="1"/>
  <c r="S32" i="51"/>
  <c r="T32" s="1"/>
  <c r="Q32"/>
  <c r="AX33" i="52"/>
  <c r="AX34" s="1"/>
  <c r="AX35" s="1"/>
  <c r="AX36" s="1"/>
  <c r="AX37" s="1"/>
  <c r="AX38" s="1"/>
  <c r="AX39" s="1"/>
  <c r="AX40" s="1"/>
  <c r="AX41" s="1"/>
  <c r="AX42" s="1"/>
  <c r="AX43" s="1"/>
  <c r="AY32"/>
  <c r="C32" i="28"/>
  <c r="N32" i="53"/>
  <c r="Z32" i="52"/>
  <c r="W32"/>
  <c r="L33" s="1"/>
  <c r="U32"/>
  <c r="AQ33"/>
  <c r="AN33"/>
  <c r="F31" i="28"/>
  <c r="R31" i="53"/>
  <c r="G31" i="28" s="1"/>
  <c r="I72" i="9"/>
  <c r="F72" s="1"/>
  <c r="U71" i="48"/>
  <c r="R71" i="52"/>
  <c r="U71" i="54"/>
  <c r="U71" i="49"/>
  <c r="R71" i="51"/>
  <c r="O71" i="53" s="1"/>
  <c r="AJ32" i="54"/>
  <c r="G32" i="26" s="1"/>
  <c r="AD32" i="54"/>
  <c r="AF32"/>
  <c r="Q33" s="1"/>
  <c r="T33" i="48"/>
  <c r="Z33" s="1"/>
  <c r="AB33" s="1"/>
  <c r="AI33"/>
  <c r="V33"/>
  <c r="X33" s="1"/>
  <c r="AD32" i="49"/>
  <c r="AJ32"/>
  <c r="F32" i="26" s="1"/>
  <c r="AF32" i="49"/>
  <c r="Q33" s="1"/>
  <c r="H72" i="9"/>
  <c r="E72" l="1"/>
  <c r="B72" i="28" s="1"/>
  <c r="U61" i="49"/>
  <c r="U61" i="54"/>
  <c r="U61" i="48"/>
  <c r="R61" i="52"/>
  <c r="R61" i="51"/>
  <c r="O61" i="53" s="1"/>
  <c r="AZ32" i="51"/>
  <c r="AY32"/>
  <c r="U32"/>
  <c r="Z32"/>
  <c r="AA32" s="1"/>
  <c r="W32"/>
  <c r="L33" s="1"/>
  <c r="AN33"/>
  <c r="AQ33"/>
  <c r="AG32" i="53"/>
  <c r="AA32" i="52"/>
  <c r="AO33"/>
  <c r="AR33" s="1"/>
  <c r="AP33"/>
  <c r="BB33"/>
  <c r="BD33" s="1"/>
  <c r="D32" i="28"/>
  <c r="T32" i="53"/>
  <c r="P33" i="52"/>
  <c r="AV33"/>
  <c r="AW33"/>
  <c r="N33"/>
  <c r="Z32" i="53"/>
  <c r="P32"/>
  <c r="K32" i="26"/>
  <c r="I73" i="9"/>
  <c r="F73" s="1"/>
  <c r="U72" i="54"/>
  <c r="R72" i="51"/>
  <c r="O72" i="53" s="1"/>
  <c r="R72" i="52"/>
  <c r="U72" i="49"/>
  <c r="U72" i="48"/>
  <c r="AA33" i="49"/>
  <c r="S33"/>
  <c r="AD33" i="48"/>
  <c r="AJ33"/>
  <c r="E33" i="26" s="1"/>
  <c r="AF33" i="48"/>
  <c r="Q34" s="1"/>
  <c r="AA33" i="54"/>
  <c r="S33"/>
  <c r="H73" i="9"/>
  <c r="E73" l="1"/>
  <c r="B73" i="28" s="1"/>
  <c r="U62" i="48"/>
  <c r="U62" i="54"/>
  <c r="R62" i="51"/>
  <c r="O62" i="53" s="1"/>
  <c r="R62" i="52"/>
  <c r="U62" i="49"/>
  <c r="AW33" i="51"/>
  <c r="P33"/>
  <c r="N33"/>
  <c r="AV33"/>
  <c r="AP33"/>
  <c r="BB33"/>
  <c r="BD33" s="1"/>
  <c r="AO33"/>
  <c r="AR33" s="1"/>
  <c r="V33" i="53"/>
  <c r="L33" s="1"/>
  <c r="I32" i="28"/>
  <c r="AS33" i="52"/>
  <c r="AM34" s="1"/>
  <c r="AU33"/>
  <c r="M33" s="1"/>
  <c r="O33" s="1"/>
  <c r="BE33"/>
  <c r="S33"/>
  <c r="T33" s="1"/>
  <c r="Q33"/>
  <c r="E32" i="28"/>
  <c r="Q32" i="53"/>
  <c r="I74" i="9"/>
  <c r="F74" s="1"/>
  <c r="U73" i="49"/>
  <c r="U73" i="48"/>
  <c r="R73" i="52"/>
  <c r="U73" i="54"/>
  <c r="R73" i="51"/>
  <c r="O73" i="53" s="1"/>
  <c r="S34" i="48"/>
  <c r="AA34"/>
  <c r="T33" i="49"/>
  <c r="Z33" s="1"/>
  <c r="AB33" s="1"/>
  <c r="AI33"/>
  <c r="V33"/>
  <c r="X33" s="1"/>
  <c r="V33" i="54"/>
  <c r="X33" s="1"/>
  <c r="T33"/>
  <c r="Z33" s="1"/>
  <c r="AB33" s="1"/>
  <c r="AI33"/>
  <c r="H74" i="9"/>
  <c r="E74" l="1"/>
  <c r="B74" i="28" s="1"/>
  <c r="R63" i="51"/>
  <c r="O63" i="53" s="1"/>
  <c r="R63" i="52"/>
  <c r="U63" i="54"/>
  <c r="U63" i="48"/>
  <c r="U63" i="49"/>
  <c r="S33" i="51"/>
  <c r="T33" s="1"/>
  <c r="Q33"/>
  <c r="BE33"/>
  <c r="AU33"/>
  <c r="M33" s="1"/>
  <c r="O33" s="1"/>
  <c r="Y33" i="53" s="1"/>
  <c r="M33" s="1"/>
  <c r="AS33" i="51"/>
  <c r="AM34" s="1"/>
  <c r="F32" i="28"/>
  <c r="R32" i="53"/>
  <c r="G32" i="28" s="1"/>
  <c r="AZ33" i="52"/>
  <c r="AY33"/>
  <c r="AQ34"/>
  <c r="AN34"/>
  <c r="Z33"/>
  <c r="W33"/>
  <c r="L34" s="1"/>
  <c r="U33"/>
  <c r="C33" i="28"/>
  <c r="N33" i="53"/>
  <c r="I75" i="9"/>
  <c r="F75" s="1"/>
  <c r="R74" i="52"/>
  <c r="U74" i="48"/>
  <c r="U74" i="49"/>
  <c r="R74" i="51"/>
  <c r="O74" i="53" s="1"/>
  <c r="U74" i="54"/>
  <c r="AD33" i="49"/>
  <c r="AJ33"/>
  <c r="F33" i="26" s="1"/>
  <c r="AF33" i="49"/>
  <c r="Q34" s="1"/>
  <c r="AD33" i="54"/>
  <c r="AJ33"/>
  <c r="G33" i="26" s="1"/>
  <c r="AF33" i="54"/>
  <c r="Q34" s="1"/>
  <c r="AI34" i="48"/>
  <c r="T34"/>
  <c r="Z34" s="1"/>
  <c r="AB34" s="1"/>
  <c r="V34"/>
  <c r="X34" s="1"/>
  <c r="H75" i="9"/>
  <c r="E75" l="1"/>
  <c r="B75" i="28" s="1"/>
  <c r="U64" i="54"/>
  <c r="R64" i="51"/>
  <c r="O64" i="53" s="1"/>
  <c r="U64" i="48"/>
  <c r="U64" i="49"/>
  <c r="R64" i="52"/>
  <c r="AZ33" i="51"/>
  <c r="AY33"/>
  <c r="AN34"/>
  <c r="AQ34"/>
  <c r="Z33"/>
  <c r="AA33" s="1"/>
  <c r="U33"/>
  <c r="W33"/>
  <c r="L34" s="1"/>
  <c r="P34" i="52"/>
  <c r="AV34"/>
  <c r="AW34"/>
  <c r="N34"/>
  <c r="Z33" i="53"/>
  <c r="P33"/>
  <c r="T33"/>
  <c r="D33" i="28"/>
  <c r="BB34" i="52"/>
  <c r="BD34" s="1"/>
  <c r="AP34"/>
  <c r="AO34"/>
  <c r="AR34" s="1"/>
  <c r="AG33" i="53"/>
  <c r="AA33" i="52"/>
  <c r="I76" i="9"/>
  <c r="F76" s="1"/>
  <c r="U75" i="49"/>
  <c r="U75" i="54"/>
  <c r="R75" i="51"/>
  <c r="O75" i="53" s="1"/>
  <c r="R75" i="52"/>
  <c r="U75" i="48"/>
  <c r="K33" i="26"/>
  <c r="AA34" i="54"/>
  <c r="S34"/>
  <c r="S34" i="49"/>
  <c r="AA34"/>
  <c r="AJ34" i="48"/>
  <c r="E34" i="26" s="1"/>
  <c r="AD34" i="48"/>
  <c r="AF34"/>
  <c r="Q35" s="1"/>
  <c r="H76" i="9"/>
  <c r="E76" l="1"/>
  <c r="B76" i="28" s="1"/>
  <c r="R65" i="52"/>
  <c r="U65" i="54"/>
  <c r="U65" i="49"/>
  <c r="R65" i="51"/>
  <c r="O65" i="53" s="1"/>
  <c r="U65" i="48"/>
  <c r="AV34" i="51"/>
  <c r="P34"/>
  <c r="N34"/>
  <c r="AW34"/>
  <c r="AO34"/>
  <c r="AR34" s="1"/>
  <c r="AP34"/>
  <c r="BB34"/>
  <c r="BD34" s="1"/>
  <c r="E33" i="28"/>
  <c r="Q33" i="53"/>
  <c r="AS34" i="52"/>
  <c r="AM35" s="1"/>
  <c r="BE34"/>
  <c r="AU34"/>
  <c r="M34" s="1"/>
  <c r="O34" s="1"/>
  <c r="I33" i="28"/>
  <c r="V34" i="53"/>
  <c r="L34" s="1"/>
  <c r="S34" i="52"/>
  <c r="T34" s="1"/>
  <c r="Q34"/>
  <c r="I77" i="9"/>
  <c r="F77" s="1"/>
  <c r="R76" i="51"/>
  <c r="O76" i="53" s="1"/>
  <c r="R76" i="52"/>
  <c r="U76" i="54"/>
  <c r="U76" i="49"/>
  <c r="U76" i="48"/>
  <c r="AA35"/>
  <c r="S35"/>
  <c r="T34" i="49"/>
  <c r="Z34" s="1"/>
  <c r="AB34" s="1"/>
  <c r="V34"/>
  <c r="X34" s="1"/>
  <c r="AI34"/>
  <c r="AI34" i="54"/>
  <c r="V34"/>
  <c r="X34" s="1"/>
  <c r="T34"/>
  <c r="Z34" s="1"/>
  <c r="AB34" s="1"/>
  <c r="H77" i="9"/>
  <c r="E77" l="1"/>
  <c r="B77" i="28" s="1"/>
  <c r="U66" i="54"/>
  <c r="U66" i="49"/>
  <c r="R66" i="51"/>
  <c r="O66" i="53" s="1"/>
  <c r="U66" i="48"/>
  <c r="R66" i="52"/>
  <c r="AU34" i="51"/>
  <c r="M34" s="1"/>
  <c r="O34" s="1"/>
  <c r="BE34"/>
  <c r="AS34"/>
  <c r="AM35" s="1"/>
  <c r="Q34"/>
  <c r="S34"/>
  <c r="T34" s="1"/>
  <c r="F33" i="28"/>
  <c r="R33" i="53"/>
  <c r="G33" i="28" s="1"/>
  <c r="N34" i="53"/>
  <c r="C34" i="28"/>
  <c r="AN35" i="52"/>
  <c r="AQ35"/>
  <c r="AZ34"/>
  <c r="AY34"/>
  <c r="W34"/>
  <c r="L35" s="1"/>
  <c r="Z34"/>
  <c r="U34"/>
  <c r="I78" i="9"/>
  <c r="F78" s="1"/>
  <c r="U77" i="49"/>
  <c r="R77" i="51"/>
  <c r="O77" i="53" s="1"/>
  <c r="U77" i="54"/>
  <c r="U77" i="48"/>
  <c r="R77" i="52"/>
  <c r="AJ34" i="54"/>
  <c r="G34" i="26" s="1"/>
  <c r="AD34" i="54"/>
  <c r="AF34"/>
  <c r="Q35" s="1"/>
  <c r="AD34" i="49"/>
  <c r="AJ34"/>
  <c r="F34" i="26" s="1"/>
  <c r="AF34" i="49"/>
  <c r="Q35" s="1"/>
  <c r="T35" i="48"/>
  <c r="Z35" s="1"/>
  <c r="AB35" s="1"/>
  <c r="AI35"/>
  <c r="V35"/>
  <c r="X35" s="1"/>
  <c r="H78" i="9"/>
  <c r="E78" l="1"/>
  <c r="B78" i="28" s="1"/>
  <c r="U67" i="49"/>
  <c r="U67" i="48"/>
  <c r="U67" i="54"/>
  <c r="R67" i="52"/>
  <c r="R67" i="51"/>
  <c r="O67" i="53" s="1"/>
  <c r="W34" i="51"/>
  <c r="L35" s="1"/>
  <c r="Z34"/>
  <c r="AA34" s="1"/>
  <c r="U34"/>
  <c r="AQ35"/>
  <c r="AN35"/>
  <c r="AZ34"/>
  <c r="AY34"/>
  <c r="Y34" i="53"/>
  <c r="M34" s="1"/>
  <c r="D34" i="28" s="1"/>
  <c r="AV35" i="52"/>
  <c r="AW35"/>
  <c r="P35"/>
  <c r="N35"/>
  <c r="AP35"/>
  <c r="AO35"/>
  <c r="AR35" s="1"/>
  <c r="BB35"/>
  <c r="BD35" s="1"/>
  <c r="AG34" i="53"/>
  <c r="AA34" i="52"/>
  <c r="Z34" i="53"/>
  <c r="P34"/>
  <c r="I79" i="9"/>
  <c r="F79" s="1"/>
  <c r="R78" i="51"/>
  <c r="O78" i="53" s="1"/>
  <c r="U78" i="54"/>
  <c r="U78" i="48"/>
  <c r="U78" i="49"/>
  <c r="R78" i="52"/>
  <c r="K34" i="26"/>
  <c r="S35" i="49"/>
  <c r="AA35"/>
  <c r="AJ35" i="48"/>
  <c r="E35" i="26" s="1"/>
  <c r="AD35" i="48"/>
  <c r="AF35"/>
  <c r="Q36" s="1"/>
  <c r="S35" i="54"/>
  <c r="AA35"/>
  <c r="H79" i="9"/>
  <c r="E79" l="1"/>
  <c r="B79" i="28" s="1"/>
  <c r="U68" i="54"/>
  <c r="R68" i="51"/>
  <c r="O68" i="53" s="1"/>
  <c r="R68" i="52"/>
  <c r="U68" i="49"/>
  <c r="U68" i="48"/>
  <c r="T34" i="53"/>
  <c r="V35" s="1"/>
  <c r="L35" s="1"/>
  <c r="AP35" i="51"/>
  <c r="BB35"/>
  <c r="BD35" s="1"/>
  <c r="AO35"/>
  <c r="AR35" s="1"/>
  <c r="AW35"/>
  <c r="AV35"/>
  <c r="P35"/>
  <c r="N35"/>
  <c r="AS35" i="52"/>
  <c r="AM36" s="1"/>
  <c r="AU35"/>
  <c r="M35" s="1"/>
  <c r="O35" s="1"/>
  <c r="BE35"/>
  <c r="Q34" i="53"/>
  <c r="F34" i="28" s="1"/>
  <c r="E34"/>
  <c r="S35" i="52"/>
  <c r="T35" s="1"/>
  <c r="Q35"/>
  <c r="U79" i="48"/>
  <c r="R79" i="52"/>
  <c r="U79" i="49"/>
  <c r="U79" i="54"/>
  <c r="R79" i="51"/>
  <c r="O79" i="53" s="1"/>
  <c r="AI35" i="54"/>
  <c r="T35"/>
  <c r="Z35" s="1"/>
  <c r="AB35" s="1"/>
  <c r="V35"/>
  <c r="X35" s="1"/>
  <c r="S36" i="48"/>
  <c r="AA36"/>
  <c r="AI35" i="49"/>
  <c r="T35"/>
  <c r="Z35" s="1"/>
  <c r="AB35" s="1"/>
  <c r="V35"/>
  <c r="X35" s="1"/>
  <c r="I34" i="28" l="1"/>
  <c r="S35" i="51"/>
  <c r="T35" s="1"/>
  <c r="Q35"/>
  <c r="AS35"/>
  <c r="AM36" s="1"/>
  <c r="AU35"/>
  <c r="M35" s="1"/>
  <c r="O35" s="1"/>
  <c r="Y35" i="53" s="1"/>
  <c r="M35" s="1"/>
  <c r="D35" i="28" s="1"/>
  <c r="BE35" i="51"/>
  <c r="R34" i="53"/>
  <c r="G34" i="28" s="1"/>
  <c r="N35" i="53"/>
  <c r="C35" i="28"/>
  <c r="AQ36" i="52"/>
  <c r="AN36"/>
  <c r="W35"/>
  <c r="L36" s="1"/>
  <c r="Z35"/>
  <c r="U35"/>
  <c r="AZ35"/>
  <c r="AY35"/>
  <c r="AD35" i="49"/>
  <c r="AJ35"/>
  <c r="F35" i="26" s="1"/>
  <c r="AF35" i="49"/>
  <c r="Q36" s="1"/>
  <c r="AJ35" i="54"/>
  <c r="G35" i="26" s="1"/>
  <c r="AD35" i="54"/>
  <c r="AF35"/>
  <c r="Q36" s="1"/>
  <c r="AI36" i="48"/>
  <c r="T36"/>
  <c r="Z36" s="1"/>
  <c r="AB36" s="1"/>
  <c r="V36"/>
  <c r="X36" s="1"/>
  <c r="AZ35" i="51" l="1"/>
  <c r="AY35"/>
  <c r="AQ36"/>
  <c r="AN36"/>
  <c r="W35"/>
  <c r="L36" s="1"/>
  <c r="U35"/>
  <c r="Z35"/>
  <c r="AA35" s="1"/>
  <c r="T35" i="53"/>
  <c r="N36" i="52"/>
  <c r="P36"/>
  <c r="AV36"/>
  <c r="AW36"/>
  <c r="Z35" i="53"/>
  <c r="P35"/>
  <c r="AA35" i="52"/>
  <c r="AG35" i="53"/>
  <c r="BB36" i="52"/>
  <c r="BD36" s="1"/>
  <c r="AO36"/>
  <c r="AR36" s="1"/>
  <c r="AP36"/>
  <c r="K35" i="26"/>
  <c r="AA36" i="49"/>
  <c r="S36"/>
  <c r="AJ36" i="48"/>
  <c r="E36" i="26" s="1"/>
  <c r="AD36" i="48"/>
  <c r="AF36"/>
  <c r="Q37" s="1"/>
  <c r="S36" i="54"/>
  <c r="AA36"/>
  <c r="N36" i="51" l="1"/>
  <c r="P36"/>
  <c r="AW36"/>
  <c r="AV36"/>
  <c r="AO36"/>
  <c r="AR36" s="1"/>
  <c r="BB36"/>
  <c r="BD36" s="1"/>
  <c r="AP36"/>
  <c r="I35" i="28"/>
  <c r="V36" i="53"/>
  <c r="L36" s="1"/>
  <c r="AS36" i="52"/>
  <c r="AM37" s="1"/>
  <c r="AU36"/>
  <c r="M36" s="1"/>
  <c r="O36" s="1"/>
  <c r="BE36"/>
  <c r="Q35" i="53"/>
  <c r="E35" i="28"/>
  <c r="Q36" i="52"/>
  <c r="S36"/>
  <c r="T36" s="1"/>
  <c r="T36" i="54"/>
  <c r="Z36" s="1"/>
  <c r="AB36" s="1"/>
  <c r="AI36"/>
  <c r="V36"/>
  <c r="X36" s="1"/>
  <c r="T36" i="49"/>
  <c r="Z36" s="1"/>
  <c r="AB36" s="1"/>
  <c r="AI36"/>
  <c r="V36"/>
  <c r="X36" s="1"/>
  <c r="S37" i="48"/>
  <c r="AA37"/>
  <c r="AU36" i="51" l="1"/>
  <c r="M36" s="1"/>
  <c r="O36" s="1"/>
  <c r="Y36" i="53" s="1"/>
  <c r="M36" s="1"/>
  <c r="AS36" i="51"/>
  <c r="AM37" s="1"/>
  <c r="BE36"/>
  <c r="S36"/>
  <c r="T36" s="1"/>
  <c r="Q36"/>
  <c r="F35" i="28"/>
  <c r="R35" i="53"/>
  <c r="G35" i="28" s="1"/>
  <c r="C36"/>
  <c r="N36" i="53"/>
  <c r="AZ36" i="52"/>
  <c r="AY36"/>
  <c r="W36"/>
  <c r="L37" s="1"/>
  <c r="U36"/>
  <c r="Z36"/>
  <c r="AN37"/>
  <c r="AQ37"/>
  <c r="AJ36" i="54"/>
  <c r="G36" i="26" s="1"/>
  <c r="AD36" i="54"/>
  <c r="AF36"/>
  <c r="Q37" s="1"/>
  <c r="AJ36" i="49"/>
  <c r="F36" i="26" s="1"/>
  <c r="AD36" i="49"/>
  <c r="AF36"/>
  <c r="Q37" s="1"/>
  <c r="V37" i="48"/>
  <c r="X37" s="1"/>
  <c r="AI37"/>
  <c r="T37"/>
  <c r="Z37" s="1"/>
  <c r="AB37" s="1"/>
  <c r="AY36" i="51" l="1"/>
  <c r="AZ36"/>
  <c r="AN37"/>
  <c r="AQ37"/>
  <c r="U36"/>
  <c r="Z36"/>
  <c r="AA36" s="1"/>
  <c r="W36"/>
  <c r="L37" s="1"/>
  <c r="Z36" i="53"/>
  <c r="P36"/>
  <c r="AA36" i="52"/>
  <c r="AG36" i="53"/>
  <c r="BB37" i="52"/>
  <c r="BD37" s="1"/>
  <c r="AP37"/>
  <c r="AO37"/>
  <c r="AR37" s="1"/>
  <c r="P37"/>
  <c r="N37"/>
  <c r="AV37"/>
  <c r="AW37"/>
  <c r="D36" i="28"/>
  <c r="T36" i="53"/>
  <c r="K36" i="26"/>
  <c r="AD37" i="48"/>
  <c r="AJ37"/>
  <c r="E37" i="26" s="1"/>
  <c r="AF37" i="48"/>
  <c r="Q38" s="1"/>
  <c r="AA37" i="54"/>
  <c r="S37"/>
  <c r="S37" i="49"/>
  <c r="AA37"/>
  <c r="AO37" i="51" l="1"/>
  <c r="AR37" s="1"/>
  <c r="BB37"/>
  <c r="BD37" s="1"/>
  <c r="AP37"/>
  <c r="AW37"/>
  <c r="AV37"/>
  <c r="P37"/>
  <c r="N37"/>
  <c r="E36" i="28"/>
  <c r="Q36" i="53"/>
  <c r="F36" i="28" s="1"/>
  <c r="Q37" i="52"/>
  <c r="S37"/>
  <c r="T37" s="1"/>
  <c r="V37" i="53"/>
  <c r="L37" s="1"/>
  <c r="I36" i="28"/>
  <c r="AS37" i="52"/>
  <c r="AM38" s="1"/>
  <c r="BE37"/>
  <c r="AU37"/>
  <c r="M37" s="1"/>
  <c r="O37" s="1"/>
  <c r="AI37" i="49"/>
  <c r="V37"/>
  <c r="X37" s="1"/>
  <c r="T37"/>
  <c r="Z37" s="1"/>
  <c r="AB37" s="1"/>
  <c r="S38" i="48"/>
  <c r="AA38"/>
  <c r="AI37" i="54"/>
  <c r="T37"/>
  <c r="Z37" s="1"/>
  <c r="AB37" s="1"/>
  <c r="V37"/>
  <c r="X37" s="1"/>
  <c r="S37" i="51" l="1"/>
  <c r="T37" s="1"/>
  <c r="Q37"/>
  <c r="AU37"/>
  <c r="M37" s="1"/>
  <c r="O37" s="1"/>
  <c r="Y37" i="53" s="1"/>
  <c r="M37" s="1"/>
  <c r="D37" i="28" s="1"/>
  <c r="BE37" i="51"/>
  <c r="AS37"/>
  <c r="AM38" s="1"/>
  <c r="R36" i="53"/>
  <c r="G36" i="28" s="1"/>
  <c r="W37" i="52"/>
  <c r="L38" s="1"/>
  <c r="Z37"/>
  <c r="U37"/>
  <c r="N37" i="53"/>
  <c r="C37" i="28"/>
  <c r="AN38" i="52"/>
  <c r="AQ38"/>
  <c r="AZ37"/>
  <c r="AY37"/>
  <c r="AJ37" i="49"/>
  <c r="F37" i="26" s="1"/>
  <c r="AD37" i="49"/>
  <c r="AF37"/>
  <c r="Q38" s="1"/>
  <c r="T38" i="48"/>
  <c r="Z38" s="1"/>
  <c r="AB38" s="1"/>
  <c r="AI38"/>
  <c r="V38"/>
  <c r="X38" s="1"/>
  <c r="AD37" i="54"/>
  <c r="AJ37"/>
  <c r="G37" i="26" s="1"/>
  <c r="AF37" i="54"/>
  <c r="Q38" s="1"/>
  <c r="AQ38" i="51" l="1"/>
  <c r="AN38"/>
  <c r="AY37"/>
  <c r="AZ37"/>
  <c r="Z37"/>
  <c r="AA37" s="1"/>
  <c r="W37"/>
  <c r="L38" s="1"/>
  <c r="U37"/>
  <c r="T37" i="53"/>
  <c r="V38" s="1"/>
  <c r="L38" s="1"/>
  <c r="N38" s="1"/>
  <c r="P38" s="1"/>
  <c r="AA37" i="52"/>
  <c r="AG37" i="53"/>
  <c r="BB38" i="52"/>
  <c r="BD38" s="1"/>
  <c r="AP38"/>
  <c r="AO38"/>
  <c r="AR38" s="1"/>
  <c r="Z37" i="53"/>
  <c r="P37"/>
  <c r="P38" i="52"/>
  <c r="AV38"/>
  <c r="AW38"/>
  <c r="N38"/>
  <c r="K37" i="26"/>
  <c r="S38" i="49"/>
  <c r="AA38"/>
  <c r="S38" i="54"/>
  <c r="AA38"/>
  <c r="AJ38" i="48"/>
  <c r="E38" i="26" s="1"/>
  <c r="AD38" i="48"/>
  <c r="AF38"/>
  <c r="Q39" s="1"/>
  <c r="AP38" i="51" l="1"/>
  <c r="AO38"/>
  <c r="AR38" s="1"/>
  <c r="BB38"/>
  <c r="BD38" s="1"/>
  <c r="AW38"/>
  <c r="N38"/>
  <c r="P38"/>
  <c r="AV38"/>
  <c r="I37" i="28"/>
  <c r="C38"/>
  <c r="Z38" i="53"/>
  <c r="E37" i="28"/>
  <c r="Q37" i="53"/>
  <c r="F37" i="28" s="1"/>
  <c r="S38" i="52"/>
  <c r="T38" s="1"/>
  <c r="Q38"/>
  <c r="BE38"/>
  <c r="AS38"/>
  <c r="AM39" s="1"/>
  <c r="AU38"/>
  <c r="M38" s="1"/>
  <c r="O38" s="1"/>
  <c r="E38" i="28"/>
  <c r="Q38" i="53"/>
  <c r="F38" i="28" s="1"/>
  <c r="V38" i="54"/>
  <c r="X38" s="1"/>
  <c r="T38"/>
  <c r="Z38" s="1"/>
  <c r="AB38" s="1"/>
  <c r="AI38"/>
  <c r="AI38" i="49"/>
  <c r="V38"/>
  <c r="X38" s="1"/>
  <c r="T38"/>
  <c r="Z38" s="1"/>
  <c r="AB38" s="1"/>
  <c r="S39" i="48"/>
  <c r="AA39"/>
  <c r="Q38" i="51" l="1"/>
  <c r="S38"/>
  <c r="T38" s="1"/>
  <c r="AU38"/>
  <c r="M38" s="1"/>
  <c r="O38" s="1"/>
  <c r="Y38" i="53" s="1"/>
  <c r="M38" s="1"/>
  <c r="R38" s="1"/>
  <c r="G38" i="28" s="1"/>
  <c r="BE38" i="51"/>
  <c r="AS38"/>
  <c r="AM39" s="1"/>
  <c r="R37" i="53"/>
  <c r="G37" i="28" s="1"/>
  <c r="AN39" i="52"/>
  <c r="AQ39"/>
  <c r="Z38"/>
  <c r="U38"/>
  <c r="W38"/>
  <c r="L39" s="1"/>
  <c r="AZ38"/>
  <c r="AY38"/>
  <c r="AJ38" i="54"/>
  <c r="G38" i="26" s="1"/>
  <c r="AD38" i="54"/>
  <c r="AF38"/>
  <c r="Q39" s="1"/>
  <c r="AD38" i="49"/>
  <c r="AJ38"/>
  <c r="F38" i="26" s="1"/>
  <c r="AF38" i="49"/>
  <c r="Q39" s="1"/>
  <c r="T39" i="48"/>
  <c r="Z39" s="1"/>
  <c r="AB39" s="1"/>
  <c r="AI39"/>
  <c r="V39"/>
  <c r="X39" s="1"/>
  <c r="AQ39" i="51" l="1"/>
  <c r="AN39"/>
  <c r="AZ38"/>
  <c r="AY38"/>
  <c r="U38"/>
  <c r="W38"/>
  <c r="L39" s="1"/>
  <c r="Z38"/>
  <c r="AA38" s="1"/>
  <c r="AW39" i="52"/>
  <c r="N39"/>
  <c r="P39"/>
  <c r="AV39"/>
  <c r="AA38"/>
  <c r="AG38" i="53"/>
  <c r="T38"/>
  <c r="D38" i="28"/>
  <c r="AO39" i="52"/>
  <c r="AR39" s="1"/>
  <c r="AP39"/>
  <c r="BB39"/>
  <c r="BD39" s="1"/>
  <c r="K38" i="26"/>
  <c r="AA39" i="54"/>
  <c r="S39"/>
  <c r="AD39" i="48"/>
  <c r="AJ39"/>
  <c r="E39" i="26" s="1"/>
  <c r="AF39" i="48"/>
  <c r="Q40" s="1"/>
  <c r="S39" i="49"/>
  <c r="AA39"/>
  <c r="P39" i="51" l="1"/>
  <c r="AV39"/>
  <c r="AW39"/>
  <c r="N39"/>
  <c r="BB39"/>
  <c r="BD39" s="1"/>
  <c r="AP39"/>
  <c r="AO39"/>
  <c r="AR39" s="1"/>
  <c r="V39" i="53"/>
  <c r="L39" s="1"/>
  <c r="I38" i="28"/>
  <c r="Q39" i="52"/>
  <c r="S39"/>
  <c r="T39" s="1"/>
  <c r="BE39"/>
  <c r="AS39"/>
  <c r="AM40" s="1"/>
  <c r="AU39"/>
  <c r="M39" s="1"/>
  <c r="O39" s="1"/>
  <c r="S40" i="48"/>
  <c r="AA40"/>
  <c r="T39" i="49"/>
  <c r="Z39" s="1"/>
  <c r="AB39" s="1"/>
  <c r="V39"/>
  <c r="X39" s="1"/>
  <c r="AI39"/>
  <c r="V39" i="54"/>
  <c r="X39" s="1"/>
  <c r="T39"/>
  <c r="Z39" s="1"/>
  <c r="AB39" s="1"/>
  <c r="AI39"/>
  <c r="BE39" i="51" l="1"/>
  <c r="AU39"/>
  <c r="M39" s="1"/>
  <c r="O39" s="1"/>
  <c r="Y39" i="53" s="1"/>
  <c r="M39" s="1"/>
  <c r="AS39" i="51"/>
  <c r="AM40" s="1"/>
  <c r="Q39"/>
  <c r="S39"/>
  <c r="T39" s="1"/>
  <c r="AQ40" i="52"/>
  <c r="AN40"/>
  <c r="U39"/>
  <c r="W39"/>
  <c r="L40" s="1"/>
  <c r="Z39"/>
  <c r="AY39"/>
  <c r="AZ39"/>
  <c r="N39" i="53"/>
  <c r="C39" i="28"/>
  <c r="AJ39" i="54"/>
  <c r="G39" i="26" s="1"/>
  <c r="AD39" i="54"/>
  <c r="AF39"/>
  <c r="Q40" s="1"/>
  <c r="AJ39" i="49"/>
  <c r="F39" i="26" s="1"/>
  <c r="AD39" i="49"/>
  <c r="AF39"/>
  <c r="Q40" s="1"/>
  <c r="T40" i="48"/>
  <c r="Z40" s="1"/>
  <c r="AB40" s="1"/>
  <c r="AI40"/>
  <c r="V40"/>
  <c r="X40" s="1"/>
  <c r="AQ40" i="51" l="1"/>
  <c r="AN40"/>
  <c r="W39"/>
  <c r="L40" s="1"/>
  <c r="U39"/>
  <c r="Z39"/>
  <c r="AA39" s="1"/>
  <c r="AZ39"/>
  <c r="AY39"/>
  <c r="Z39" i="53"/>
  <c r="P39"/>
  <c r="AA39" i="52"/>
  <c r="AG39" i="53"/>
  <c r="AO40" i="52"/>
  <c r="AR40" s="1"/>
  <c r="BB40"/>
  <c r="BD40" s="1"/>
  <c r="AP40"/>
  <c r="D39" i="28"/>
  <c r="T39" i="53"/>
  <c r="AW40" i="52"/>
  <c r="N40"/>
  <c r="P40"/>
  <c r="AV40"/>
  <c r="K39" i="26"/>
  <c r="S40" i="49"/>
  <c r="AA40"/>
  <c r="AJ40" i="48"/>
  <c r="E40" i="26" s="1"/>
  <c r="AD40" i="48"/>
  <c r="AF40"/>
  <c r="Q41" s="1"/>
  <c r="AA40" i="54"/>
  <c r="S40"/>
  <c r="AP40" i="51" l="1"/>
  <c r="AO40"/>
  <c r="AR40" s="1"/>
  <c r="BB40"/>
  <c r="BD40" s="1"/>
  <c r="P40"/>
  <c r="AW40"/>
  <c r="AV40"/>
  <c r="N40"/>
  <c r="E39" i="28"/>
  <c r="Q39" i="53"/>
  <c r="F39" i="28" s="1"/>
  <c r="Q40" i="52"/>
  <c r="S40"/>
  <c r="T40" s="1"/>
  <c r="V40" i="53"/>
  <c r="L40" s="1"/>
  <c r="I39" i="28"/>
  <c r="AU40" i="52"/>
  <c r="M40" s="1"/>
  <c r="O40" s="1"/>
  <c r="AS40"/>
  <c r="AM41" s="1"/>
  <c r="BE40"/>
  <c r="AI40" i="49"/>
  <c r="T40"/>
  <c r="Z40" s="1"/>
  <c r="AB40" s="1"/>
  <c r="V40"/>
  <c r="X40" s="1"/>
  <c r="T40" i="54"/>
  <c r="Z40" s="1"/>
  <c r="AB40" s="1"/>
  <c r="V40"/>
  <c r="X40" s="1"/>
  <c r="AI40"/>
  <c r="S41" i="48"/>
  <c r="AA41"/>
  <c r="S40" i="51" l="1"/>
  <c r="T40" s="1"/>
  <c r="Q40"/>
  <c r="BE40"/>
  <c r="AS40"/>
  <c r="AM41" s="1"/>
  <c r="AU40"/>
  <c r="M40" s="1"/>
  <c r="O40" s="1"/>
  <c r="Y40" i="53" s="1"/>
  <c r="M40" s="1"/>
  <c r="R39"/>
  <c r="G39" i="28" s="1"/>
  <c r="W40" i="52"/>
  <c r="L41" s="1"/>
  <c r="U40"/>
  <c r="Z40"/>
  <c r="AZ40"/>
  <c r="AY40"/>
  <c r="AQ41"/>
  <c r="AN41"/>
  <c r="N40" i="53"/>
  <c r="C40" i="28"/>
  <c r="AJ40" i="49"/>
  <c r="F40" i="26" s="1"/>
  <c r="AD40" i="49"/>
  <c r="AF40"/>
  <c r="Q41" s="1"/>
  <c r="AI41" i="48"/>
  <c r="V41"/>
  <c r="X41" s="1"/>
  <c r="T41"/>
  <c r="Z41" s="1"/>
  <c r="AB41" s="1"/>
  <c r="AJ40" i="54"/>
  <c r="G40" i="26" s="1"/>
  <c r="AD40" i="54"/>
  <c r="AF40"/>
  <c r="Q41" s="1"/>
  <c r="Z40" i="51" l="1"/>
  <c r="AA40" s="1"/>
  <c r="U40"/>
  <c r="W40"/>
  <c r="L41" s="1"/>
  <c r="AZ40"/>
  <c r="AY40"/>
  <c r="AQ41"/>
  <c r="AN41"/>
  <c r="D40" i="28"/>
  <c r="T40" i="53"/>
  <c r="AO41" i="52"/>
  <c r="AR41" s="1"/>
  <c r="BB41"/>
  <c r="BD41" s="1"/>
  <c r="AP41"/>
  <c r="AG40" i="53"/>
  <c r="AA40" i="52"/>
  <c r="Z40" i="53"/>
  <c r="P40"/>
  <c r="AW41" i="52"/>
  <c r="N41"/>
  <c r="P41"/>
  <c r="AV41"/>
  <c r="K40" i="26"/>
  <c r="AA41" i="54"/>
  <c r="S41"/>
  <c r="AA41" i="49"/>
  <c r="S41"/>
  <c r="AJ41" i="48"/>
  <c r="E41" i="26" s="1"/>
  <c r="AD41" i="48"/>
  <c r="AF41"/>
  <c r="Q42" s="1"/>
  <c r="AO41" i="51" l="1"/>
  <c r="AR41" s="1"/>
  <c r="BB41"/>
  <c r="BD41" s="1"/>
  <c r="AP41"/>
  <c r="AW41"/>
  <c r="P41"/>
  <c r="N41"/>
  <c r="AV41"/>
  <c r="I40" i="28"/>
  <c r="V41" i="53"/>
  <c r="L41" s="1"/>
  <c r="AS41" i="52"/>
  <c r="AM42" s="1"/>
  <c r="BE41"/>
  <c r="AU41"/>
  <c r="M41" s="1"/>
  <c r="O41" s="1"/>
  <c r="S41"/>
  <c r="T41" s="1"/>
  <c r="Q41"/>
  <c r="Q40" i="53"/>
  <c r="F40" i="28" s="1"/>
  <c r="E40"/>
  <c r="S42" i="48"/>
  <c r="AA42"/>
  <c r="V41" i="49"/>
  <c r="X41" s="1"/>
  <c r="AI41"/>
  <c r="T41"/>
  <c r="Z41" s="1"/>
  <c r="AB41" s="1"/>
  <c r="AI41" i="54"/>
  <c r="V41"/>
  <c r="X41" s="1"/>
  <c r="T41"/>
  <c r="Z41" s="1"/>
  <c r="AB41" s="1"/>
  <c r="AS41" i="51" l="1"/>
  <c r="AM42" s="1"/>
  <c r="BE41"/>
  <c r="AU41"/>
  <c r="M41" s="1"/>
  <c r="O41" s="1"/>
  <c r="Y41" i="53" s="1"/>
  <c r="M41" s="1"/>
  <c r="D41" i="28" s="1"/>
  <c r="S41" i="51"/>
  <c r="T41" s="1"/>
  <c r="Q41"/>
  <c r="R40" i="53"/>
  <c r="G40" i="28" s="1"/>
  <c r="N41" i="53"/>
  <c r="C41" i="28"/>
  <c r="AY41" i="52"/>
  <c r="AZ41"/>
  <c r="AN42"/>
  <c r="AQ42"/>
  <c r="U41"/>
  <c r="W41"/>
  <c r="L42" s="1"/>
  <c r="Z41"/>
  <c r="AD41" i="49"/>
  <c r="AJ41"/>
  <c r="F41" i="26" s="1"/>
  <c r="AF41" i="49"/>
  <c r="Q42" s="1"/>
  <c r="AJ41" i="54"/>
  <c r="G41" i="26" s="1"/>
  <c r="AD41" i="54"/>
  <c r="AF41"/>
  <c r="Q42" s="1"/>
  <c r="AI42" i="48"/>
  <c r="T42"/>
  <c r="Z42" s="1"/>
  <c r="AB42" s="1"/>
  <c r="V42"/>
  <c r="X42" s="1"/>
  <c r="AZ41" i="51" l="1"/>
  <c r="AY41"/>
  <c r="U41"/>
  <c r="Z41"/>
  <c r="AA41" s="1"/>
  <c r="W41"/>
  <c r="L42" s="1"/>
  <c r="AQ42"/>
  <c r="AN42"/>
  <c r="T41" i="53"/>
  <c r="AV42" i="52"/>
  <c r="AW42"/>
  <c r="N42"/>
  <c r="P42"/>
  <c r="BB42"/>
  <c r="BD42" s="1"/>
  <c r="AO42"/>
  <c r="AR42" s="1"/>
  <c r="AP42"/>
  <c r="AG41" i="53"/>
  <c r="AA41" i="52"/>
  <c r="Z41" i="53"/>
  <c r="P41"/>
  <c r="K41" i="26"/>
  <c r="AD42" i="48"/>
  <c r="AJ42"/>
  <c r="E42" i="26" s="1"/>
  <c r="AF42" i="48"/>
  <c r="Q43" s="1"/>
  <c r="AA42" i="54"/>
  <c r="S42"/>
  <c r="S42" i="49"/>
  <c r="AA42"/>
  <c r="AP42" i="51" l="1"/>
  <c r="BB42"/>
  <c r="BD42" s="1"/>
  <c r="AO42"/>
  <c r="AR42" s="1"/>
  <c r="N42"/>
  <c r="AW42"/>
  <c r="P42"/>
  <c r="AV42"/>
  <c r="I41" i="28"/>
  <c r="V42" i="53"/>
  <c r="L42" s="1"/>
  <c r="AU42" i="52"/>
  <c r="M42" s="1"/>
  <c r="O42" s="1"/>
  <c r="BE42"/>
  <c r="AS42"/>
  <c r="AM43" s="1"/>
  <c r="Q41" i="53"/>
  <c r="F41" i="28" s="1"/>
  <c r="E41"/>
  <c r="Q42" i="52"/>
  <c r="S42"/>
  <c r="T42" s="1"/>
  <c r="AA43" i="48"/>
  <c r="S43"/>
  <c r="T42" i="49"/>
  <c r="Z42" s="1"/>
  <c r="AB42" s="1"/>
  <c r="V42"/>
  <c r="X42" s="1"/>
  <c r="AI42"/>
  <c r="V42" i="54"/>
  <c r="X42" s="1"/>
  <c r="T42"/>
  <c r="Z42" s="1"/>
  <c r="AB42" s="1"/>
  <c r="AI42"/>
  <c r="Q42" i="51" l="1"/>
  <c r="S42"/>
  <c r="T42" s="1"/>
  <c r="BE42"/>
  <c r="AU42"/>
  <c r="M42" s="1"/>
  <c r="O42" s="1"/>
  <c r="Y42" i="53" s="1"/>
  <c r="M42" s="1"/>
  <c r="AS42" i="51"/>
  <c r="AM43" s="1"/>
  <c r="R41" i="53"/>
  <c r="G41" i="28" s="1"/>
  <c r="N42" i="53"/>
  <c r="C42" i="28"/>
  <c r="AZ42" i="52"/>
  <c r="AY42"/>
  <c r="AQ43"/>
  <c r="AN43"/>
  <c r="U42"/>
  <c r="W42"/>
  <c r="L43" s="1"/>
  <c r="Z42"/>
  <c r="AJ42" i="49"/>
  <c r="F42" i="26" s="1"/>
  <c r="AD42" i="49"/>
  <c r="AF42"/>
  <c r="Q43" s="1"/>
  <c r="V43" i="48"/>
  <c r="X43" s="1"/>
  <c r="T43"/>
  <c r="Z43" s="1"/>
  <c r="AB43" s="1"/>
  <c r="AI43"/>
  <c r="AJ42" i="54"/>
  <c r="G42" i="26" s="1"/>
  <c r="AD42" i="54"/>
  <c r="AF42"/>
  <c r="Q43" s="1"/>
  <c r="AN43" i="51" l="1"/>
  <c r="AQ43"/>
  <c r="AZ42"/>
  <c r="AY42"/>
  <c r="U42"/>
  <c r="W42"/>
  <c r="L43" s="1"/>
  <c r="Z42"/>
  <c r="AA42" s="1"/>
  <c r="P42" i="53"/>
  <c r="Z42"/>
  <c r="D42" i="28"/>
  <c r="T42" i="53"/>
  <c r="AW43" i="52"/>
  <c r="P43"/>
  <c r="N43"/>
  <c r="AV43"/>
  <c r="AA42"/>
  <c r="AG42" i="53"/>
  <c r="BB43" i="52"/>
  <c r="BD43" s="1"/>
  <c r="AP43"/>
  <c r="AO43"/>
  <c r="AR43" s="1"/>
  <c r="K42" i="26"/>
  <c r="AA43" i="49"/>
  <c r="S43"/>
  <c r="AA43" i="54"/>
  <c r="S43"/>
  <c r="AD43" i="48"/>
  <c r="AJ43"/>
  <c r="E43" i="26" s="1"/>
  <c r="AF43" i="48"/>
  <c r="Q44" s="1"/>
  <c r="AO43" i="51" l="1"/>
  <c r="AR43" s="1"/>
  <c r="BB43"/>
  <c r="BD43" s="1"/>
  <c r="AP43"/>
  <c r="AV43"/>
  <c r="AW43"/>
  <c r="P43"/>
  <c r="N43"/>
  <c r="E42" i="28"/>
  <c r="Q42" i="53"/>
  <c r="V43"/>
  <c r="L43" s="1"/>
  <c r="I42" i="28"/>
  <c r="AS43" i="52"/>
  <c r="AM44" s="1"/>
  <c r="AU43"/>
  <c r="M43" s="1"/>
  <c r="O43" s="1"/>
  <c r="BE43"/>
  <c r="Q43"/>
  <c r="S43"/>
  <c r="T43" s="1"/>
  <c r="T43" i="49"/>
  <c r="Z43" s="1"/>
  <c r="AB43" s="1"/>
  <c r="V43"/>
  <c r="X43" s="1"/>
  <c r="AI43"/>
  <c r="AA44" i="48"/>
  <c r="S44"/>
  <c r="T43" i="54"/>
  <c r="Z43" s="1"/>
  <c r="AB43" s="1"/>
  <c r="AI43"/>
  <c r="V43"/>
  <c r="X43" s="1"/>
  <c r="BE43" i="51" l="1"/>
  <c r="AU43"/>
  <c r="M43" s="1"/>
  <c r="O43" s="1"/>
  <c r="Y43" i="53" s="1"/>
  <c r="M43" s="1"/>
  <c r="AS43" i="51"/>
  <c r="AM44" s="1"/>
  <c r="Q43"/>
  <c r="S43"/>
  <c r="T43" s="1"/>
  <c r="F42" i="28"/>
  <c r="R42" i="53"/>
  <c r="G42" i="28" s="1"/>
  <c r="AY43" i="52"/>
  <c r="AZ43"/>
  <c r="AQ44"/>
  <c r="AN44"/>
  <c r="Z43"/>
  <c r="W43"/>
  <c r="L44" s="1"/>
  <c r="U43"/>
  <c r="N43" i="53"/>
  <c r="C43" i="28"/>
  <c r="AJ43" i="54"/>
  <c r="G43" i="26" s="1"/>
  <c r="AD43" i="54"/>
  <c r="AF43"/>
  <c r="Q44" s="1"/>
  <c r="AD43" i="49"/>
  <c r="AJ43"/>
  <c r="F43" i="26" s="1"/>
  <c r="AF43" i="49"/>
  <c r="Q44" s="1"/>
  <c r="V44" i="48"/>
  <c r="X44" s="1"/>
  <c r="T44"/>
  <c r="Z44" s="1"/>
  <c r="AB44" s="1"/>
  <c r="AI44"/>
  <c r="K43" i="26" l="1"/>
  <c r="Z43" i="51"/>
  <c r="AA43" s="1"/>
  <c r="AB44" s="1"/>
  <c r="U43"/>
  <c r="W43"/>
  <c r="L44" s="1"/>
  <c r="AN44"/>
  <c r="AQ44"/>
  <c r="AZ43"/>
  <c r="AY43"/>
  <c r="P44" i="52"/>
  <c r="AW44"/>
  <c r="AV44"/>
  <c r="N44"/>
  <c r="D43" i="28"/>
  <c r="T43" i="53"/>
  <c r="BB44" i="52"/>
  <c r="BD44" s="1"/>
  <c r="AP44"/>
  <c r="AO44"/>
  <c r="AR44" s="1"/>
  <c r="P43" i="53"/>
  <c r="Z43"/>
  <c r="AG43"/>
  <c r="AA43" i="52"/>
  <c r="AB44" s="1"/>
  <c r="AA44" i="49"/>
  <c r="S44"/>
  <c r="AJ44" i="48"/>
  <c r="E44" i="26" s="1"/>
  <c r="AD44" i="48"/>
  <c r="AF44"/>
  <c r="Q45" s="1"/>
  <c r="AA44" i="54"/>
  <c r="S44"/>
  <c r="P44" i="51" l="1"/>
  <c r="AV44"/>
  <c r="AW44"/>
  <c r="N44"/>
  <c r="AP44"/>
  <c r="AO44"/>
  <c r="AR44" s="1"/>
  <c r="BB44"/>
  <c r="BD44" s="1"/>
  <c r="Q43" i="53"/>
  <c r="F43" i="28" s="1"/>
  <c r="E43"/>
  <c r="I43"/>
  <c r="V44" i="53"/>
  <c r="L44" s="1"/>
  <c r="AS44" i="52"/>
  <c r="AM45" s="1"/>
  <c r="AU44"/>
  <c r="M44" s="1"/>
  <c r="O44" s="1"/>
  <c r="BE44"/>
  <c r="S44"/>
  <c r="T44" s="1"/>
  <c r="Q44"/>
  <c r="AZ44" s="1"/>
  <c r="AX44"/>
  <c r="T44" i="54"/>
  <c r="Z44" s="1"/>
  <c r="AB44" s="1"/>
  <c r="V44"/>
  <c r="X44" s="1"/>
  <c r="AI44"/>
  <c r="AA45" i="48"/>
  <c r="S45"/>
  <c r="AI44" i="49"/>
  <c r="V44"/>
  <c r="X44" s="1"/>
  <c r="T44"/>
  <c r="Z44" s="1"/>
  <c r="AB44" s="1"/>
  <c r="AU44" i="51" l="1"/>
  <c r="M44" s="1"/>
  <c r="O44" s="1"/>
  <c r="Y44" i="53" s="1"/>
  <c r="M44" s="1"/>
  <c r="BE44" i="51"/>
  <c r="AS44"/>
  <c r="AM45" s="1"/>
  <c r="AX44"/>
  <c r="S44"/>
  <c r="T44" s="1"/>
  <c r="Q44"/>
  <c r="AZ44" s="1"/>
  <c r="R43" i="53"/>
  <c r="G43" i="28" s="1"/>
  <c r="AX45" i="52"/>
  <c r="AX46" s="1"/>
  <c r="AX47" s="1"/>
  <c r="AX48" s="1"/>
  <c r="AX49" s="1"/>
  <c r="AX50" s="1"/>
  <c r="AX51" s="1"/>
  <c r="AX52" s="1"/>
  <c r="AX53" s="1"/>
  <c r="AX54" s="1"/>
  <c r="AX55" s="1"/>
  <c r="AY44"/>
  <c r="Z44"/>
  <c r="U44"/>
  <c r="W44"/>
  <c r="L45" s="1"/>
  <c r="C44" i="28"/>
  <c r="N44" i="53"/>
  <c r="AQ45" i="52"/>
  <c r="AN45"/>
  <c r="AD44" i="49"/>
  <c r="AJ44"/>
  <c r="F44" i="26" s="1"/>
  <c r="AF44" i="49"/>
  <c r="Q45" s="1"/>
  <c r="V45" i="48"/>
  <c r="X45" s="1"/>
  <c r="AI45"/>
  <c r="T45"/>
  <c r="Z45" s="1"/>
  <c r="AB45" s="1"/>
  <c r="AD44" i="54"/>
  <c r="AJ44"/>
  <c r="G44" i="26" s="1"/>
  <c r="AF44" i="54"/>
  <c r="Q45" s="1"/>
  <c r="AQ45" i="51" l="1"/>
  <c r="AN45"/>
  <c r="W44"/>
  <c r="L45" s="1"/>
  <c r="U44"/>
  <c r="Z44"/>
  <c r="AA44" s="1"/>
  <c r="AX45"/>
  <c r="AX46" s="1"/>
  <c r="AX47" s="1"/>
  <c r="AX48" s="1"/>
  <c r="AX49" s="1"/>
  <c r="AX50" s="1"/>
  <c r="AX51" s="1"/>
  <c r="AX52" s="1"/>
  <c r="AX53" s="1"/>
  <c r="AX54" s="1"/>
  <c r="AX55" s="1"/>
  <c r="AY44"/>
  <c r="AV45" i="52"/>
  <c r="AW45"/>
  <c r="P45"/>
  <c r="N45"/>
  <c r="BB45"/>
  <c r="BD45" s="1"/>
  <c r="AP45"/>
  <c r="AO45"/>
  <c r="AR45" s="1"/>
  <c r="D44" i="28"/>
  <c r="T44" i="53"/>
  <c r="Z44"/>
  <c r="P44"/>
  <c r="AA44" i="52"/>
  <c r="AG44" i="53"/>
  <c r="K44" i="26"/>
  <c r="AD45" i="48"/>
  <c r="AJ45"/>
  <c r="E45" i="26" s="1"/>
  <c r="AF45" i="48"/>
  <c r="Q46" s="1"/>
  <c r="S45" i="54"/>
  <c r="AA45"/>
  <c r="S45" i="49"/>
  <c r="AA45"/>
  <c r="AP45" i="51" l="1"/>
  <c r="BB45"/>
  <c r="BD45" s="1"/>
  <c r="AO45"/>
  <c r="AR45" s="1"/>
  <c r="AV45"/>
  <c r="P45"/>
  <c r="AW45"/>
  <c r="N45"/>
  <c r="I44" i="28"/>
  <c r="V45" i="53"/>
  <c r="L45" s="1"/>
  <c r="Q44"/>
  <c r="F44" i="28" s="1"/>
  <c r="E44"/>
  <c r="AU45" i="52"/>
  <c r="M45" s="1"/>
  <c r="O45" s="1"/>
  <c r="AS45"/>
  <c r="AM46" s="1"/>
  <c r="BE45"/>
  <c r="Q45"/>
  <c r="S45"/>
  <c r="T45" s="1"/>
  <c r="T45" i="54"/>
  <c r="Z45" s="1"/>
  <c r="AB45" s="1"/>
  <c r="V45"/>
  <c r="X45" s="1"/>
  <c r="AI45"/>
  <c r="S46" i="48"/>
  <c r="AA46"/>
  <c r="V45" i="49"/>
  <c r="X45" s="1"/>
  <c r="T45"/>
  <c r="Z45" s="1"/>
  <c r="AB45" s="1"/>
  <c r="AI45"/>
  <c r="S45" i="51" l="1"/>
  <c r="T45" s="1"/>
  <c r="Q45"/>
  <c r="AU45"/>
  <c r="M45" s="1"/>
  <c r="O45" s="1"/>
  <c r="BE45"/>
  <c r="AS45"/>
  <c r="AM46" s="1"/>
  <c r="R44" i="53"/>
  <c r="G44" i="28" s="1"/>
  <c r="Z45" i="52"/>
  <c r="W45"/>
  <c r="L46" s="1"/>
  <c r="U45"/>
  <c r="N45" i="53"/>
  <c r="C45" i="28"/>
  <c r="AQ46" i="52"/>
  <c r="AN46"/>
  <c r="AY45"/>
  <c r="AZ45"/>
  <c r="T46" i="48"/>
  <c r="Z46" s="1"/>
  <c r="AB46" s="1"/>
  <c r="AI46"/>
  <c r="V46"/>
  <c r="X46" s="1"/>
  <c r="AJ45" i="49"/>
  <c r="F45" i="26" s="1"/>
  <c r="AD45" i="49"/>
  <c r="AF45"/>
  <c r="Q46" s="1"/>
  <c r="AD45" i="54"/>
  <c r="AJ45"/>
  <c r="G45" i="26" s="1"/>
  <c r="AF45" i="54"/>
  <c r="Q46" s="1"/>
  <c r="AQ46" i="51" l="1"/>
  <c r="AN46"/>
  <c r="AZ45"/>
  <c r="AY45"/>
  <c r="U45"/>
  <c r="Z45"/>
  <c r="AA45" s="1"/>
  <c r="W45"/>
  <c r="L46" s="1"/>
  <c r="Y45" i="53"/>
  <c r="M45" s="1"/>
  <c r="D45" i="28" s="1"/>
  <c r="AV46" i="52"/>
  <c r="P46"/>
  <c r="N46"/>
  <c r="AW46"/>
  <c r="AO46"/>
  <c r="AR46" s="1"/>
  <c r="AP46"/>
  <c r="BB46"/>
  <c r="BD46" s="1"/>
  <c r="Z45" i="53"/>
  <c r="P45"/>
  <c r="AG45"/>
  <c r="AA45" i="52"/>
  <c r="K45" i="26"/>
  <c r="AA46" i="49"/>
  <c r="S46"/>
  <c r="AA46" i="54"/>
  <c r="S46"/>
  <c r="AJ46" i="48"/>
  <c r="E46" i="26" s="1"/>
  <c r="AD46" i="48"/>
  <c r="AF46"/>
  <c r="Q47" s="1"/>
  <c r="N46" i="51" l="1"/>
  <c r="P46"/>
  <c r="AW46"/>
  <c r="AV46"/>
  <c r="AO46"/>
  <c r="AR46" s="1"/>
  <c r="BB46"/>
  <c r="BD46" s="1"/>
  <c r="AP46"/>
  <c r="T45" i="53"/>
  <c r="V46" s="1"/>
  <c r="L46" s="1"/>
  <c r="Q45"/>
  <c r="E45" i="28"/>
  <c r="AU46" i="52"/>
  <c r="M46" s="1"/>
  <c r="O46" s="1"/>
  <c r="BE46"/>
  <c r="AS46"/>
  <c r="AM47" s="1"/>
  <c r="S46"/>
  <c r="T46" s="1"/>
  <c r="Q46"/>
  <c r="T46" i="54"/>
  <c r="Z46" s="1"/>
  <c r="AB46" s="1"/>
  <c r="AI46"/>
  <c r="V46"/>
  <c r="X46" s="1"/>
  <c r="AA47" i="48"/>
  <c r="S47"/>
  <c r="T46" i="49"/>
  <c r="Z46" s="1"/>
  <c r="AB46" s="1"/>
  <c r="V46"/>
  <c r="X46" s="1"/>
  <c r="AI46"/>
  <c r="I45" i="28" l="1"/>
  <c r="BE46" i="51"/>
  <c r="AU46"/>
  <c r="M46" s="1"/>
  <c r="O46" s="1"/>
  <c r="AS46"/>
  <c r="AM47" s="1"/>
  <c r="Q46"/>
  <c r="S46"/>
  <c r="T46" s="1"/>
  <c r="F45" i="28"/>
  <c r="R45" i="53"/>
  <c r="G45" i="28" s="1"/>
  <c r="C46"/>
  <c r="N46" i="53"/>
  <c r="AQ47" i="52"/>
  <c r="AN47"/>
  <c r="AY46"/>
  <c r="AZ46"/>
  <c r="Z46"/>
  <c r="U46"/>
  <c r="W46"/>
  <c r="L47" s="1"/>
  <c r="V47" i="48"/>
  <c r="X47" s="1"/>
  <c r="T47"/>
  <c r="Z47" s="1"/>
  <c r="AB47" s="1"/>
  <c r="AI47"/>
  <c r="AD46" i="49"/>
  <c r="AJ46"/>
  <c r="F46" i="26" s="1"/>
  <c r="AF46" i="49"/>
  <c r="Q47" s="1"/>
  <c r="AJ46" i="54"/>
  <c r="G46" i="26" s="1"/>
  <c r="AD46" i="54"/>
  <c r="AF46"/>
  <c r="Q47" s="1"/>
  <c r="Z46" i="51" l="1"/>
  <c r="AA46" s="1"/>
  <c r="U46"/>
  <c r="W46"/>
  <c r="L47" s="1"/>
  <c r="AQ47"/>
  <c r="AN47"/>
  <c r="AY46"/>
  <c r="AZ46"/>
  <c r="Y46" i="53"/>
  <c r="M46" s="1"/>
  <c r="D46" i="28" s="1"/>
  <c r="P46" i="53"/>
  <c r="Z46"/>
  <c r="P47" i="52"/>
  <c r="N47"/>
  <c r="AV47"/>
  <c r="AW47"/>
  <c r="AG46" i="53"/>
  <c r="AA46" i="52"/>
  <c r="AP47"/>
  <c r="AO47"/>
  <c r="AR47" s="1"/>
  <c r="BB47"/>
  <c r="BD47" s="1"/>
  <c r="K46" i="26"/>
  <c r="S47" i="54"/>
  <c r="AA47"/>
  <c r="AD47" i="48"/>
  <c r="AJ47"/>
  <c r="E47" i="26" s="1"/>
  <c r="AF47" i="48"/>
  <c r="Q48" s="1"/>
  <c r="S47" i="49"/>
  <c r="AA47"/>
  <c r="T46" i="53" l="1"/>
  <c r="I46" i="28" s="1"/>
  <c r="AP47" i="51"/>
  <c r="BB47"/>
  <c r="BD47" s="1"/>
  <c r="AO47"/>
  <c r="AR47" s="1"/>
  <c r="AV47"/>
  <c r="AW47"/>
  <c r="N47"/>
  <c r="P47"/>
  <c r="Q46" i="53"/>
  <c r="F46" i="28" s="1"/>
  <c r="E46"/>
  <c r="AS47" i="52"/>
  <c r="AM48" s="1"/>
  <c r="AU47"/>
  <c r="M47" s="1"/>
  <c r="O47" s="1"/>
  <c r="BE47"/>
  <c r="S47"/>
  <c r="T47" s="1"/>
  <c r="Q47"/>
  <c r="V47" i="49"/>
  <c r="X47" s="1"/>
  <c r="T47"/>
  <c r="Z47" s="1"/>
  <c r="AB47" s="1"/>
  <c r="AI47"/>
  <c r="AA48" i="48"/>
  <c r="S48"/>
  <c r="AI47" i="54"/>
  <c r="T47"/>
  <c r="Z47" s="1"/>
  <c r="AB47" s="1"/>
  <c r="V47"/>
  <c r="X47" s="1"/>
  <c r="V47" i="53" l="1"/>
  <c r="L47" s="1"/>
  <c r="C47" i="28" s="1"/>
  <c r="S47" i="51"/>
  <c r="T47" s="1"/>
  <c r="Q47"/>
  <c r="AU47"/>
  <c r="M47" s="1"/>
  <c r="O47" s="1"/>
  <c r="Y47" i="53" s="1"/>
  <c r="BE47" i="51"/>
  <c r="AS47"/>
  <c r="AM48" s="1"/>
  <c r="R46" i="53"/>
  <c r="G46" i="28" s="1"/>
  <c r="AZ47" i="52"/>
  <c r="AY47"/>
  <c r="AN48"/>
  <c r="AQ48"/>
  <c r="Z47"/>
  <c r="U47"/>
  <c r="W47"/>
  <c r="L48" s="1"/>
  <c r="AJ47" i="54"/>
  <c r="G47" i="26" s="1"/>
  <c r="AD47" i="54"/>
  <c r="AF47"/>
  <c r="Q48" s="1"/>
  <c r="AI48" i="48"/>
  <c r="T48"/>
  <c r="Z48" s="1"/>
  <c r="AB48" s="1"/>
  <c r="V48"/>
  <c r="X48" s="1"/>
  <c r="AJ47" i="49"/>
  <c r="F47" i="26" s="1"/>
  <c r="AD47" i="49"/>
  <c r="AF47"/>
  <c r="Q48" s="1"/>
  <c r="N47" i="53" l="1"/>
  <c r="P47" s="1"/>
  <c r="M47"/>
  <c r="D47" i="28" s="1"/>
  <c r="K47" i="26"/>
  <c r="AN48" i="51"/>
  <c r="AQ48"/>
  <c r="AZ47"/>
  <c r="AY47"/>
  <c r="Z47"/>
  <c r="AA47" s="1"/>
  <c r="U47"/>
  <c r="W47"/>
  <c r="L48" s="1"/>
  <c r="AW48" i="52"/>
  <c r="P48"/>
  <c r="N48"/>
  <c r="AV48"/>
  <c r="AO48"/>
  <c r="AR48" s="1"/>
  <c r="AP48"/>
  <c r="BB48"/>
  <c r="BD48" s="1"/>
  <c r="AA47"/>
  <c r="AG47" i="53"/>
  <c r="AA48" i="49"/>
  <c r="S48"/>
  <c r="AJ48" i="48"/>
  <c r="E48" i="26" s="1"/>
  <c r="AD48" i="48"/>
  <c r="AF48"/>
  <c r="Q49" s="1"/>
  <c r="S48" i="54"/>
  <c r="AA48"/>
  <c r="T47" i="53" l="1"/>
  <c r="I47" i="28" s="1"/>
  <c r="Z47" i="53"/>
  <c r="BB48" i="51"/>
  <c r="BD48" s="1"/>
  <c r="AO48"/>
  <c r="AR48" s="1"/>
  <c r="AP48"/>
  <c r="AV48"/>
  <c r="P48"/>
  <c r="N48"/>
  <c r="AW48"/>
  <c r="BE48" i="52"/>
  <c r="AU48"/>
  <c r="M48" s="1"/>
  <c r="O48" s="1"/>
  <c r="AS48"/>
  <c r="AM49" s="1"/>
  <c r="E47" i="28"/>
  <c r="Q47" i="53"/>
  <c r="F47" i="28" s="1"/>
  <c r="Q48" i="52"/>
  <c r="S48"/>
  <c r="T48" s="1"/>
  <c r="S49" i="48"/>
  <c r="AA49"/>
  <c r="V48" i="54"/>
  <c r="X48" s="1"/>
  <c r="T48"/>
  <c r="Z48" s="1"/>
  <c r="AB48" s="1"/>
  <c r="AI48"/>
  <c r="T48" i="49"/>
  <c r="Z48" s="1"/>
  <c r="AB48" s="1"/>
  <c r="AI48"/>
  <c r="V48"/>
  <c r="X48" s="1"/>
  <c r="R47" i="53" l="1"/>
  <c r="G47" i="28" s="1"/>
  <c r="V48" i="53"/>
  <c r="L48" s="1"/>
  <c r="N48" s="1"/>
  <c r="Q48" i="51"/>
  <c r="S48"/>
  <c r="T48" s="1"/>
  <c r="BE48"/>
  <c r="AU48"/>
  <c r="M48" s="1"/>
  <c r="O48" s="1"/>
  <c r="Y48" i="53" s="1"/>
  <c r="AS48" i="51"/>
  <c r="AM49" s="1"/>
  <c r="AZ48" i="52"/>
  <c r="AY48"/>
  <c r="Z48"/>
  <c r="U48"/>
  <c r="W48"/>
  <c r="L49" s="1"/>
  <c r="AQ49"/>
  <c r="AN49"/>
  <c r="AD48" i="49"/>
  <c r="AJ48"/>
  <c r="F48" i="26" s="1"/>
  <c r="AF48" i="49"/>
  <c r="Q49" s="1"/>
  <c r="T49" i="48"/>
  <c r="Z49" s="1"/>
  <c r="AB49" s="1"/>
  <c r="V49"/>
  <c r="X49" s="1"/>
  <c r="AI49"/>
  <c r="AD48" i="54"/>
  <c r="AJ48"/>
  <c r="G48" i="26" s="1"/>
  <c r="AF48" i="54"/>
  <c r="Q49" s="1"/>
  <c r="M48" i="53" l="1"/>
  <c r="D48" i="28" s="1"/>
  <c r="C48"/>
  <c r="AN49" i="51"/>
  <c r="AQ49"/>
  <c r="AZ48"/>
  <c r="AY48"/>
  <c r="W48"/>
  <c r="L49" s="1"/>
  <c r="U48"/>
  <c r="Z48"/>
  <c r="AA48" s="1"/>
  <c r="AW49" i="52"/>
  <c r="P49"/>
  <c r="N49"/>
  <c r="AV49"/>
  <c r="Z48" i="53"/>
  <c r="P48"/>
  <c r="AA48" i="52"/>
  <c r="AG48" i="53"/>
  <c r="AO49" i="52"/>
  <c r="AR49" s="1"/>
  <c r="BB49"/>
  <c r="BD49" s="1"/>
  <c r="AP49"/>
  <c r="K48" i="26"/>
  <c r="AA49" i="54"/>
  <c r="S49"/>
  <c r="AA49" i="49"/>
  <c r="S49"/>
  <c r="AJ49" i="48"/>
  <c r="E49" i="26" s="1"/>
  <c r="AD49" i="48"/>
  <c r="AF49"/>
  <c r="Q50" s="1"/>
  <c r="T48" i="53" l="1"/>
  <c r="I48" i="28" s="1"/>
  <c r="N49" i="51"/>
  <c r="AW49"/>
  <c r="AV49"/>
  <c r="P49"/>
  <c r="BB49"/>
  <c r="BD49" s="1"/>
  <c r="AO49"/>
  <c r="AR49" s="1"/>
  <c r="AP49"/>
  <c r="AU49" i="52"/>
  <c r="M49" s="1"/>
  <c r="O49" s="1"/>
  <c r="BE49"/>
  <c r="AS49"/>
  <c r="AM50" s="1"/>
  <c r="Q48" i="53"/>
  <c r="E48" i="28"/>
  <c r="S49" i="52"/>
  <c r="T49" s="1"/>
  <c r="Q49"/>
  <c r="S50" i="48"/>
  <c r="AA50"/>
  <c r="AI49" i="54"/>
  <c r="V49"/>
  <c r="X49" s="1"/>
  <c r="T49"/>
  <c r="Z49" s="1"/>
  <c r="AB49" s="1"/>
  <c r="AI49" i="49"/>
  <c r="V49"/>
  <c r="X49" s="1"/>
  <c r="T49"/>
  <c r="Z49" s="1"/>
  <c r="AB49" s="1"/>
  <c r="V49" i="53" l="1"/>
  <c r="L49" s="1"/>
  <c r="C49" i="28" s="1"/>
  <c r="BE49" i="51"/>
  <c r="AU49"/>
  <c r="M49" s="1"/>
  <c r="O49" s="1"/>
  <c r="Y49" i="53" s="1"/>
  <c r="AS49" i="51"/>
  <c r="AM50" s="1"/>
  <c r="S49"/>
  <c r="T49" s="1"/>
  <c r="Q49"/>
  <c r="F48" i="28"/>
  <c r="R48" i="53"/>
  <c r="G48" i="28" s="1"/>
  <c r="U49" i="52"/>
  <c r="W49"/>
  <c r="L50" s="1"/>
  <c r="Z49"/>
  <c r="AY49"/>
  <c r="AZ49"/>
  <c r="AQ50"/>
  <c r="AN50"/>
  <c r="AJ49" i="54"/>
  <c r="G49" i="26" s="1"/>
  <c r="AD49" i="54"/>
  <c r="AF49"/>
  <c r="Q50" s="1"/>
  <c r="AD49" i="49"/>
  <c r="AJ49"/>
  <c r="F49" i="26" s="1"/>
  <c r="AF49" i="49"/>
  <c r="Q50" s="1"/>
  <c r="V50" i="48"/>
  <c r="X50" s="1"/>
  <c r="T50"/>
  <c r="Z50" s="1"/>
  <c r="AB50" s="1"/>
  <c r="AI50"/>
  <c r="M49" i="53" l="1"/>
  <c r="D49" i="28" s="1"/>
  <c r="N49" i="53"/>
  <c r="Z49" s="1"/>
  <c r="AY49" i="51"/>
  <c r="AZ49"/>
  <c r="U49"/>
  <c r="Z49"/>
  <c r="AA49" s="1"/>
  <c r="W49"/>
  <c r="L50" s="1"/>
  <c r="AN50"/>
  <c r="AQ50"/>
  <c r="AP50" i="52"/>
  <c r="AO50"/>
  <c r="AR50" s="1"/>
  <c r="BB50"/>
  <c r="BD50" s="1"/>
  <c r="AA49"/>
  <c r="AG49" i="53"/>
  <c r="K49" i="26"/>
  <c r="AV50" i="52"/>
  <c r="AW50"/>
  <c r="P50"/>
  <c r="N50"/>
  <c r="S50" i="54"/>
  <c r="AA50"/>
  <c r="AA50" i="49"/>
  <c r="S50"/>
  <c r="AJ50" i="48"/>
  <c r="E50" i="26" s="1"/>
  <c r="AD50" i="48"/>
  <c r="AF50"/>
  <c r="Q51" s="1"/>
  <c r="P49" i="53" l="1"/>
  <c r="Q49" s="1"/>
  <c r="F49" i="28" s="1"/>
  <c r="T49" i="53"/>
  <c r="I49" i="28" s="1"/>
  <c r="N50" i="51"/>
  <c r="P50"/>
  <c r="AW50"/>
  <c r="AV50"/>
  <c r="AP50"/>
  <c r="AO50"/>
  <c r="AR50" s="1"/>
  <c r="BB50"/>
  <c r="BD50" s="1"/>
  <c r="Q50" i="52"/>
  <c r="S50"/>
  <c r="T50" s="1"/>
  <c r="BE50"/>
  <c r="AS50"/>
  <c r="AM51" s="1"/>
  <c r="AU50"/>
  <c r="M50" s="1"/>
  <c r="O50" s="1"/>
  <c r="V50" i="49"/>
  <c r="X50" s="1"/>
  <c r="AI50"/>
  <c r="T50"/>
  <c r="Z50" s="1"/>
  <c r="AB50" s="1"/>
  <c r="AI50" i="54"/>
  <c r="V50"/>
  <c r="X50" s="1"/>
  <c r="T50"/>
  <c r="Z50" s="1"/>
  <c r="AB50" s="1"/>
  <c r="AA51" i="48"/>
  <c r="S51"/>
  <c r="V50" i="53" l="1"/>
  <c r="L50" s="1"/>
  <c r="C50" i="28" s="1"/>
  <c r="E49"/>
  <c r="BE50" i="51"/>
  <c r="AU50"/>
  <c r="M50" s="1"/>
  <c r="O50" s="1"/>
  <c r="Y50" i="53" s="1"/>
  <c r="AS50" i="51"/>
  <c r="AM51" s="1"/>
  <c r="S50"/>
  <c r="T50" s="1"/>
  <c r="Q50"/>
  <c r="R49" i="53"/>
  <c r="G49" i="28" s="1"/>
  <c r="W50" i="52"/>
  <c r="L51" s="1"/>
  <c r="Z50"/>
  <c r="U50"/>
  <c r="AZ50"/>
  <c r="AY50"/>
  <c r="AQ51"/>
  <c r="AN51"/>
  <c r="AD50" i="54"/>
  <c r="AJ50"/>
  <c r="G50" i="26" s="1"/>
  <c r="AF50" i="54"/>
  <c r="Q51" s="1"/>
  <c r="AD50" i="49"/>
  <c r="AJ50"/>
  <c r="F50" i="26" s="1"/>
  <c r="AF50" i="49"/>
  <c r="Q51" s="1"/>
  <c r="AI51" i="48"/>
  <c r="V51"/>
  <c r="X51" s="1"/>
  <c r="T51"/>
  <c r="Z51" s="1"/>
  <c r="AB51" s="1"/>
  <c r="N50" i="53" l="1"/>
  <c r="Z50" s="1"/>
  <c r="M50"/>
  <c r="D50" i="28" s="1"/>
  <c r="U50" i="51"/>
  <c r="W50"/>
  <c r="L51" s="1"/>
  <c r="Z50"/>
  <c r="AA50" s="1"/>
  <c r="AY50"/>
  <c r="AZ50"/>
  <c r="AN51"/>
  <c r="AQ51"/>
  <c r="K50" i="26"/>
  <c r="P51" i="52"/>
  <c r="N51"/>
  <c r="AV51"/>
  <c r="AW51"/>
  <c r="AA50"/>
  <c r="AG50" i="53"/>
  <c r="AP51" i="52"/>
  <c r="AO51"/>
  <c r="AR51" s="1"/>
  <c r="BB51"/>
  <c r="BD51" s="1"/>
  <c r="AD51" i="48"/>
  <c r="AJ51"/>
  <c r="E51" i="26" s="1"/>
  <c r="AF51" i="48"/>
  <c r="Q52" s="1"/>
  <c r="AA51" i="49"/>
  <c r="S51"/>
  <c r="S51" i="54"/>
  <c r="AA51"/>
  <c r="P50" i="53" l="1"/>
  <c r="Q50" s="1"/>
  <c r="T50"/>
  <c r="I50" i="28" s="1"/>
  <c r="BB51" i="51"/>
  <c r="BD51" s="1"/>
  <c r="AP51"/>
  <c r="AO51"/>
  <c r="AR51" s="1"/>
  <c r="AW51"/>
  <c r="AV51"/>
  <c r="P51"/>
  <c r="N51"/>
  <c r="V51" i="53"/>
  <c r="L51" s="1"/>
  <c r="C51" i="28" s="1"/>
  <c r="S51" i="52"/>
  <c r="T51" s="1"/>
  <c r="Q51"/>
  <c r="BE51"/>
  <c r="AS51"/>
  <c r="AM52" s="1"/>
  <c r="AU51"/>
  <c r="M51" s="1"/>
  <c r="O51" s="1"/>
  <c r="AI51" i="49"/>
  <c r="T51"/>
  <c r="Z51" s="1"/>
  <c r="AB51" s="1"/>
  <c r="V51"/>
  <c r="X51" s="1"/>
  <c r="T51" i="54"/>
  <c r="Z51" s="1"/>
  <c r="AB51" s="1"/>
  <c r="V51"/>
  <c r="X51" s="1"/>
  <c r="AI51"/>
  <c r="AA52" i="48"/>
  <c r="S52"/>
  <c r="E50" i="28" l="1"/>
  <c r="S51" i="51"/>
  <c r="T51" s="1"/>
  <c r="Q51"/>
  <c r="BE51"/>
  <c r="AU51"/>
  <c r="M51" s="1"/>
  <c r="O51" s="1"/>
  <c r="Y51" i="53" s="1"/>
  <c r="M51" s="1"/>
  <c r="AS51" i="51"/>
  <c r="AM52" s="1"/>
  <c r="F50" i="28"/>
  <c r="R50" i="53"/>
  <c r="G50" i="28" s="1"/>
  <c r="N51" i="53"/>
  <c r="Z51" s="1"/>
  <c r="Z51" i="52"/>
  <c r="W51"/>
  <c r="L52" s="1"/>
  <c r="U51"/>
  <c r="AN52"/>
  <c r="AQ52"/>
  <c r="AZ51"/>
  <c r="AY51"/>
  <c r="T52" i="48"/>
  <c r="Z52" s="1"/>
  <c r="AB52" s="1"/>
  <c r="AI52"/>
  <c r="V52"/>
  <c r="X52" s="1"/>
  <c r="AJ51" i="49"/>
  <c r="F51" i="26" s="1"/>
  <c r="AD51" i="49"/>
  <c r="AF51"/>
  <c r="Q52" s="1"/>
  <c r="AD51" i="54"/>
  <c r="AJ51"/>
  <c r="G51" i="26" s="1"/>
  <c r="AF51" i="54"/>
  <c r="Q52" s="1"/>
  <c r="AQ52" i="51" l="1"/>
  <c r="AN52"/>
  <c r="AZ51"/>
  <c r="AY51"/>
  <c r="W51"/>
  <c r="L52" s="1"/>
  <c r="Z51"/>
  <c r="AA51" s="1"/>
  <c r="U51"/>
  <c r="P51" i="53"/>
  <c r="E51" i="28" s="1"/>
  <c r="P52" i="52"/>
  <c r="N52"/>
  <c r="AW52"/>
  <c r="AV52"/>
  <c r="AO52"/>
  <c r="AR52" s="1"/>
  <c r="AP52"/>
  <c r="BB52"/>
  <c r="BD52" s="1"/>
  <c r="AA51"/>
  <c r="AG51" i="53"/>
  <c r="T51"/>
  <c r="D51" i="28"/>
  <c r="K51" i="26"/>
  <c r="S52" i="49"/>
  <c r="AA52"/>
  <c r="AJ52" i="48"/>
  <c r="E52" i="26" s="1"/>
  <c r="AD52" i="48"/>
  <c r="AF52"/>
  <c r="Q53" s="1"/>
  <c r="AA52" i="54"/>
  <c r="S52"/>
  <c r="N52" i="51" l="1"/>
  <c r="P52"/>
  <c r="AW52"/>
  <c r="AV52"/>
  <c r="BB52"/>
  <c r="BD52" s="1"/>
  <c r="AO52"/>
  <c r="AR52" s="1"/>
  <c r="AP52"/>
  <c r="Q51" i="53"/>
  <c r="F51" i="28" s="1"/>
  <c r="BE52" i="52"/>
  <c r="AU52"/>
  <c r="M52" s="1"/>
  <c r="O52" s="1"/>
  <c r="AS52"/>
  <c r="AM53" s="1"/>
  <c r="Q52"/>
  <c r="S52"/>
  <c r="T52" s="1"/>
  <c r="I51" i="28"/>
  <c r="V52" i="53"/>
  <c r="L52" s="1"/>
  <c r="T52" i="54"/>
  <c r="Z52" s="1"/>
  <c r="AB52" s="1"/>
  <c r="V52"/>
  <c r="X52" s="1"/>
  <c r="AI52"/>
  <c r="V52" i="49"/>
  <c r="X52" s="1"/>
  <c r="AI52"/>
  <c r="T52"/>
  <c r="Z52" s="1"/>
  <c r="AB52" s="1"/>
  <c r="S53" i="48"/>
  <c r="AA53"/>
  <c r="R51" i="53" l="1"/>
  <c r="G51" i="28" s="1"/>
  <c r="BE52" i="51"/>
  <c r="AU52"/>
  <c r="M52" s="1"/>
  <c r="O52" s="1"/>
  <c r="AS52"/>
  <c r="AM53" s="1"/>
  <c r="Q52"/>
  <c r="S52"/>
  <c r="T52" s="1"/>
  <c r="U52" i="52"/>
  <c r="W52"/>
  <c r="L53" s="1"/>
  <c r="Z52"/>
  <c r="C52" i="28"/>
  <c r="N52" i="53"/>
  <c r="AQ53" i="52"/>
  <c r="AN53"/>
  <c r="AY52"/>
  <c r="AZ52"/>
  <c r="AD52" i="54"/>
  <c r="AJ52"/>
  <c r="G52" i="26" s="1"/>
  <c r="AF52" i="54"/>
  <c r="Q53" s="1"/>
  <c r="AD52" i="49"/>
  <c r="AJ52"/>
  <c r="F52" i="26" s="1"/>
  <c r="AF52" i="49"/>
  <c r="Q53" s="1"/>
  <c r="AI53" i="48"/>
  <c r="V53"/>
  <c r="X53" s="1"/>
  <c r="T53"/>
  <c r="Z53" s="1"/>
  <c r="AB53" s="1"/>
  <c r="U52" i="51" l="1"/>
  <c r="W52"/>
  <c r="L53" s="1"/>
  <c r="Z52"/>
  <c r="AA52" s="1"/>
  <c r="AQ53"/>
  <c r="AN53"/>
  <c r="AY52"/>
  <c r="AZ52"/>
  <c r="Y52" i="53"/>
  <c r="M52" s="1"/>
  <c r="D52" i="28" s="1"/>
  <c r="P52" i="53"/>
  <c r="Z52"/>
  <c r="AO53" i="52"/>
  <c r="AR53" s="1"/>
  <c r="AP53"/>
  <c r="BB53"/>
  <c r="BD53" s="1"/>
  <c r="P53"/>
  <c r="AV53"/>
  <c r="AW53"/>
  <c r="N53"/>
  <c r="AA52"/>
  <c r="AG52" i="53"/>
  <c r="K52" i="26"/>
  <c r="AD53" i="48"/>
  <c r="AJ53"/>
  <c r="E53" i="26" s="1"/>
  <c r="AF53" i="48"/>
  <c r="Q54" s="1"/>
  <c r="AA53" i="49"/>
  <c r="S53"/>
  <c r="S53" i="54"/>
  <c r="AA53"/>
  <c r="T52" i="53" l="1"/>
  <c r="V53" s="1"/>
  <c r="L53" s="1"/>
  <c r="AO53" i="51"/>
  <c r="AR53" s="1"/>
  <c r="BB53"/>
  <c r="BD53" s="1"/>
  <c r="AP53"/>
  <c r="AV53"/>
  <c r="N53"/>
  <c r="AW53"/>
  <c r="P53"/>
  <c r="Q52" i="53"/>
  <c r="F52" i="28" s="1"/>
  <c r="E52"/>
  <c r="S53" i="52"/>
  <c r="T53" s="1"/>
  <c r="Q53"/>
  <c r="AS53"/>
  <c r="AM54" s="1"/>
  <c r="AU53"/>
  <c r="M53" s="1"/>
  <c r="O53" s="1"/>
  <c r="BE53"/>
  <c r="AI53" i="49"/>
  <c r="V53"/>
  <c r="X53" s="1"/>
  <c r="T53"/>
  <c r="Z53" s="1"/>
  <c r="AB53" s="1"/>
  <c r="S54" i="48"/>
  <c r="AA54"/>
  <c r="AI53" i="54"/>
  <c r="T53"/>
  <c r="Z53" s="1"/>
  <c r="AB53" s="1"/>
  <c r="V53"/>
  <c r="X53" s="1"/>
  <c r="I52" i="28" l="1"/>
  <c r="AS53" i="51"/>
  <c r="AM54" s="1"/>
  <c r="BE53"/>
  <c r="AU53"/>
  <c r="M53" s="1"/>
  <c r="O53" s="1"/>
  <c r="Y53" i="53" s="1"/>
  <c r="M53" s="1"/>
  <c r="S53" i="51"/>
  <c r="T53" s="1"/>
  <c r="Q53"/>
  <c r="R52" i="53"/>
  <c r="G52" i="28" s="1"/>
  <c r="AN54" i="52"/>
  <c r="AQ54"/>
  <c r="W53"/>
  <c r="L54" s="1"/>
  <c r="Z53"/>
  <c r="U53"/>
  <c r="C53" i="28"/>
  <c r="N53" i="53"/>
  <c r="AY53" i="52"/>
  <c r="AZ53"/>
  <c r="AI54" i="48"/>
  <c r="T54"/>
  <c r="Z54" s="1"/>
  <c r="AB54" s="1"/>
  <c r="V54"/>
  <c r="X54" s="1"/>
  <c r="AD53" i="54"/>
  <c r="AJ53"/>
  <c r="G53" i="26" s="1"/>
  <c r="AF53" i="54"/>
  <c r="Q54" s="1"/>
  <c r="AD53" i="49"/>
  <c r="AJ53"/>
  <c r="F53" i="26" s="1"/>
  <c r="AF53" i="49"/>
  <c r="Q54" s="1"/>
  <c r="AY53" i="51" l="1"/>
  <c r="AZ53"/>
  <c r="AQ54"/>
  <c r="AN54"/>
  <c r="U53"/>
  <c r="W53"/>
  <c r="L54" s="1"/>
  <c r="Z53"/>
  <c r="AA53" s="1"/>
  <c r="K53" i="26"/>
  <c r="T53" i="53"/>
  <c r="D53" i="28"/>
  <c r="P53" i="53"/>
  <c r="Z53"/>
  <c r="AG53"/>
  <c r="AA53" i="52"/>
  <c r="AO54"/>
  <c r="AR54" s="1"/>
  <c r="BB54"/>
  <c r="BD54" s="1"/>
  <c r="AP54"/>
  <c r="AW54"/>
  <c r="N54"/>
  <c r="P54"/>
  <c r="AV54"/>
  <c r="AJ54" i="48"/>
  <c r="E54" i="26" s="1"/>
  <c r="AD54" i="48"/>
  <c r="AF54"/>
  <c r="Q55" s="1"/>
  <c r="AA54" i="54"/>
  <c r="S54"/>
  <c r="AA54" i="49"/>
  <c r="S54"/>
  <c r="AV54" i="51" l="1"/>
  <c r="N54"/>
  <c r="P54"/>
  <c r="AW54"/>
  <c r="BB54"/>
  <c r="BD54" s="1"/>
  <c r="AP54"/>
  <c r="AO54"/>
  <c r="AR54" s="1"/>
  <c r="AS54" i="52"/>
  <c r="AM55" s="1"/>
  <c r="AU54"/>
  <c r="M54" s="1"/>
  <c r="O54" s="1"/>
  <c r="BE54"/>
  <c r="Q53" i="53"/>
  <c r="F53" i="28" s="1"/>
  <c r="E53"/>
  <c r="Q54" i="52"/>
  <c r="S54"/>
  <c r="T54" s="1"/>
  <c r="I53" i="28"/>
  <c r="V54" i="53"/>
  <c r="L54" s="1"/>
  <c r="T54" i="49"/>
  <c r="Z54" s="1"/>
  <c r="AB54" s="1"/>
  <c r="AI54"/>
  <c r="V54"/>
  <c r="X54" s="1"/>
  <c r="T54" i="54"/>
  <c r="Z54" s="1"/>
  <c r="AB54" s="1"/>
  <c r="V54"/>
  <c r="X54" s="1"/>
  <c r="AI54"/>
  <c r="S55" i="48"/>
  <c r="AA55"/>
  <c r="AU54" i="51" l="1"/>
  <c r="M54" s="1"/>
  <c r="O54" s="1"/>
  <c r="Y54" i="53" s="1"/>
  <c r="M54" s="1"/>
  <c r="BE54" i="51"/>
  <c r="AS54"/>
  <c r="AM55" s="1"/>
  <c r="Q54"/>
  <c r="S54"/>
  <c r="T54" s="1"/>
  <c r="R53" i="53"/>
  <c r="G53" i="28" s="1"/>
  <c r="C54"/>
  <c r="N54" i="53"/>
  <c r="AQ55" i="52"/>
  <c r="AN55"/>
  <c r="AY54"/>
  <c r="AZ54"/>
  <c r="Z54"/>
  <c r="W54"/>
  <c r="L55" s="1"/>
  <c r="U54"/>
  <c r="AD54" i="49"/>
  <c r="AJ54"/>
  <c r="F54" i="26" s="1"/>
  <c r="AF54" i="49"/>
  <c r="Q55" s="1"/>
  <c r="AD54" i="54"/>
  <c r="AJ54"/>
  <c r="G54" i="26" s="1"/>
  <c r="AF54" i="54"/>
  <c r="Q55" s="1"/>
  <c r="AI55" i="48"/>
  <c r="V55"/>
  <c r="X55" s="1"/>
  <c r="T55"/>
  <c r="Z55" s="1"/>
  <c r="AB55" s="1"/>
  <c r="U54" i="51" l="1"/>
  <c r="Z54"/>
  <c r="AA54" s="1"/>
  <c r="W54"/>
  <c r="L55" s="1"/>
  <c r="AN55"/>
  <c r="AQ55"/>
  <c r="AZ54"/>
  <c r="AY54"/>
  <c r="K54" i="26"/>
  <c r="AA54" i="52"/>
  <c r="AG54" i="53"/>
  <c r="AO55" i="52"/>
  <c r="AR55" s="1"/>
  <c r="AP55"/>
  <c r="BB55"/>
  <c r="BD55" s="1"/>
  <c r="AV55"/>
  <c r="AW55"/>
  <c r="N55"/>
  <c r="P55"/>
  <c r="Z54" i="53"/>
  <c r="P54"/>
  <c r="D54" i="28"/>
  <c r="T54" i="53"/>
  <c r="AJ55" i="48"/>
  <c r="E55" i="26" s="1"/>
  <c r="AD55" i="48"/>
  <c r="AF55"/>
  <c r="Q56" s="1"/>
  <c r="AA55" i="49"/>
  <c r="S55"/>
  <c r="AA55" i="54"/>
  <c r="S55"/>
  <c r="N55" i="51" l="1"/>
  <c r="AV55"/>
  <c r="P55"/>
  <c r="AW55"/>
  <c r="AO55"/>
  <c r="AR55" s="1"/>
  <c r="BB55"/>
  <c r="BD55" s="1"/>
  <c r="AP55"/>
  <c r="Q55" i="52"/>
  <c r="S55"/>
  <c r="T55" s="1"/>
  <c r="E54" i="28"/>
  <c r="Q54" i="53"/>
  <c r="F54" i="28" s="1"/>
  <c r="AS55" i="52"/>
  <c r="AM56" s="1"/>
  <c r="BE55"/>
  <c r="AU55"/>
  <c r="M55" s="1"/>
  <c r="O55" s="1"/>
  <c r="I54" i="28"/>
  <c r="V55" i="53"/>
  <c r="L55" s="1"/>
  <c r="AI55" i="54"/>
  <c r="T55"/>
  <c r="Z55" s="1"/>
  <c r="AB55" s="1"/>
  <c r="V55"/>
  <c r="X55" s="1"/>
  <c r="T55" i="49"/>
  <c r="Z55" s="1"/>
  <c r="AB55" s="1"/>
  <c r="V55"/>
  <c r="X55" s="1"/>
  <c r="AI55"/>
  <c r="S56" i="48"/>
  <c r="AA56"/>
  <c r="BE55" i="51" l="1"/>
  <c r="AS55"/>
  <c r="AM56" s="1"/>
  <c r="AU55"/>
  <c r="M55" s="1"/>
  <c r="O55" s="1"/>
  <c r="Y55" i="53" s="1"/>
  <c r="M55" s="1"/>
  <c r="D55" i="28" s="1"/>
  <c r="S55" i="51"/>
  <c r="T55" s="1"/>
  <c r="Q55"/>
  <c r="R54" i="53"/>
  <c r="G54" i="28" s="1"/>
  <c r="N55" i="53"/>
  <c r="C55" i="28"/>
  <c r="AN56" i="52"/>
  <c r="AQ56"/>
  <c r="AZ55"/>
  <c r="AY55"/>
  <c r="U55"/>
  <c r="W55"/>
  <c r="L56" s="1"/>
  <c r="Z55"/>
  <c r="AI56" i="48"/>
  <c r="V56"/>
  <c r="X56" s="1"/>
  <c r="T56"/>
  <c r="Z56" s="1"/>
  <c r="AB56" s="1"/>
  <c r="AD55" i="54"/>
  <c r="AJ55"/>
  <c r="G55" i="26" s="1"/>
  <c r="AF55" i="54"/>
  <c r="Q56" s="1"/>
  <c r="AD55" i="49"/>
  <c r="AJ55"/>
  <c r="F55" i="26" s="1"/>
  <c r="AF55" i="49"/>
  <c r="Q56" s="1"/>
  <c r="AY55" i="51" l="1"/>
  <c r="AZ55"/>
  <c r="AN56"/>
  <c r="AQ56"/>
  <c r="U55"/>
  <c r="Z55"/>
  <c r="AA55" s="1"/>
  <c r="AB56" s="1"/>
  <c r="W55"/>
  <c r="L56" s="1"/>
  <c r="T55" i="53"/>
  <c r="V56" s="1"/>
  <c r="L56" s="1"/>
  <c r="N56" s="1"/>
  <c r="AV56" i="52"/>
  <c r="N56"/>
  <c r="AW56"/>
  <c r="P56"/>
  <c r="AG55" i="53"/>
  <c r="AA55" i="52"/>
  <c r="AB56" s="1"/>
  <c r="Z55" i="53"/>
  <c r="P55"/>
  <c r="K55" i="26"/>
  <c r="AO56" i="52"/>
  <c r="AR56" s="1"/>
  <c r="AP56"/>
  <c r="BB56"/>
  <c r="BD56" s="1"/>
  <c r="AD56" i="48"/>
  <c r="AJ56"/>
  <c r="E56" i="26" s="1"/>
  <c r="AF56" i="48"/>
  <c r="Q57" s="1"/>
  <c r="S56" i="49"/>
  <c r="AA56"/>
  <c r="S56" i="54"/>
  <c r="AA56"/>
  <c r="AV56" i="51" l="1"/>
  <c r="N56"/>
  <c r="P56"/>
  <c r="AW56"/>
  <c r="BB56"/>
  <c r="BD56" s="1"/>
  <c r="AP56"/>
  <c r="AO56"/>
  <c r="AR56" s="1"/>
  <c r="C56" i="28"/>
  <c r="I55"/>
  <c r="BE56" i="52"/>
  <c r="AS56"/>
  <c r="AM57" s="1"/>
  <c r="AU56"/>
  <c r="M56" s="1"/>
  <c r="O56" s="1"/>
  <c r="AX56"/>
  <c r="E55" i="28"/>
  <c r="Q55" i="53"/>
  <c r="Q56" i="52"/>
  <c r="AZ56" s="1"/>
  <c r="S56"/>
  <c r="T56" s="1"/>
  <c r="AI56" i="54"/>
  <c r="V56"/>
  <c r="X56" s="1"/>
  <c r="T56"/>
  <c r="Z56" s="1"/>
  <c r="AB56" s="1"/>
  <c r="P56" i="53"/>
  <c r="Z56"/>
  <c r="AA57" i="48"/>
  <c r="S57"/>
  <c r="AI56" i="49"/>
  <c r="V56"/>
  <c r="X56" s="1"/>
  <c r="T56"/>
  <c r="Z56" s="1"/>
  <c r="AB56" s="1"/>
  <c r="AX56" i="51" l="1"/>
  <c r="AX57" s="1"/>
  <c r="AX58" s="1"/>
  <c r="AX59" s="1"/>
  <c r="AX60" s="1"/>
  <c r="AX61" s="1"/>
  <c r="AX62" s="1"/>
  <c r="AX63" s="1"/>
  <c r="AX64" s="1"/>
  <c r="AX65" s="1"/>
  <c r="AX66" s="1"/>
  <c r="AX67" s="1"/>
  <c r="AU56"/>
  <c r="M56" s="1"/>
  <c r="O56" s="1"/>
  <c r="Y56" i="53" s="1"/>
  <c r="M56" s="1"/>
  <c r="BE56" i="51"/>
  <c r="AS56"/>
  <c r="AM57" s="1"/>
  <c r="Q56"/>
  <c r="S56"/>
  <c r="T56" s="1"/>
  <c r="F55" i="28"/>
  <c r="R55" i="53"/>
  <c r="G55" i="28" s="1"/>
  <c r="AN57" i="52"/>
  <c r="AQ57"/>
  <c r="Z56"/>
  <c r="U56"/>
  <c r="W56"/>
  <c r="L57" s="1"/>
  <c r="AX57"/>
  <c r="AX58" s="1"/>
  <c r="AX59" s="1"/>
  <c r="AX60" s="1"/>
  <c r="AX61" s="1"/>
  <c r="AX62" s="1"/>
  <c r="AX63" s="1"/>
  <c r="AX64" s="1"/>
  <c r="AX65" s="1"/>
  <c r="AX66" s="1"/>
  <c r="AX67" s="1"/>
  <c r="AY56"/>
  <c r="AJ56" i="54"/>
  <c r="G56" i="26" s="1"/>
  <c r="AD56" i="54"/>
  <c r="AF56"/>
  <c r="Q57" s="1"/>
  <c r="AI57" i="48"/>
  <c r="V57"/>
  <c r="X57" s="1"/>
  <c r="T57"/>
  <c r="Z57" s="1"/>
  <c r="AB57" s="1"/>
  <c r="E56" i="28"/>
  <c r="Q56" i="53"/>
  <c r="F56" i="28" s="1"/>
  <c r="AD56" i="49"/>
  <c r="AJ56"/>
  <c r="F56" i="26" s="1"/>
  <c r="AF56" i="49"/>
  <c r="Q57" s="1"/>
  <c r="K56" i="26" l="1"/>
  <c r="Z56" i="51"/>
  <c r="AA56" s="1"/>
  <c r="U56"/>
  <c r="W56"/>
  <c r="L57" s="1"/>
  <c r="AN57"/>
  <c r="AQ57"/>
  <c r="AY56"/>
  <c r="AZ56"/>
  <c r="R56" i="53"/>
  <c r="G56" i="28" s="1"/>
  <c r="AA56" i="52"/>
  <c r="AG56" i="53"/>
  <c r="AV57" i="52"/>
  <c r="N57"/>
  <c r="AW57"/>
  <c r="P57"/>
  <c r="BB57"/>
  <c r="BD57" s="1"/>
  <c r="AP57"/>
  <c r="AO57"/>
  <c r="AR57" s="1"/>
  <c r="D56" i="28"/>
  <c r="T56" i="53"/>
  <c r="AA57" i="49"/>
  <c r="S57"/>
  <c r="AJ57" i="48"/>
  <c r="E57" i="26" s="1"/>
  <c r="AD57" i="48"/>
  <c r="AF57"/>
  <c r="Q58" s="1"/>
  <c r="AA57" i="54"/>
  <c r="S57"/>
  <c r="AV57" i="51" l="1"/>
  <c r="N57"/>
  <c r="AW57"/>
  <c r="P57"/>
  <c r="AO57"/>
  <c r="AR57" s="1"/>
  <c r="BB57"/>
  <c r="BD57" s="1"/>
  <c r="AP57"/>
  <c r="AS57" i="52"/>
  <c r="AM58" s="1"/>
  <c r="AU57"/>
  <c r="M57" s="1"/>
  <c r="O57" s="1"/>
  <c r="BE57"/>
  <c r="Q57"/>
  <c r="S57"/>
  <c r="T57" s="1"/>
  <c r="I56" i="28"/>
  <c r="V57" i="53"/>
  <c r="L57" s="1"/>
  <c r="T57" i="54"/>
  <c r="Z57" s="1"/>
  <c r="AB57" s="1"/>
  <c r="V57"/>
  <c r="X57" s="1"/>
  <c r="AI57"/>
  <c r="S58" i="48"/>
  <c r="AA58"/>
  <c r="V57" i="49"/>
  <c r="X57" s="1"/>
  <c r="AI57"/>
  <c r="T57"/>
  <c r="Z57" s="1"/>
  <c r="AB57" s="1"/>
  <c r="AU57" i="51" l="1"/>
  <c r="M57" s="1"/>
  <c r="O57" s="1"/>
  <c r="BE57"/>
  <c r="AS57"/>
  <c r="AM58" s="1"/>
  <c r="S57"/>
  <c r="T57" s="1"/>
  <c r="Q57"/>
  <c r="AQ58" i="52"/>
  <c r="AN58"/>
  <c r="W57"/>
  <c r="L58" s="1"/>
  <c r="U57"/>
  <c r="Z57"/>
  <c r="C57" i="28"/>
  <c r="N57" i="53"/>
  <c r="AZ57" i="52"/>
  <c r="AY57"/>
  <c r="AJ57" i="54"/>
  <c r="G57" i="26" s="1"/>
  <c r="AD57" i="54"/>
  <c r="AF57"/>
  <c r="Q58" s="1"/>
  <c r="AJ57" i="49"/>
  <c r="F57" i="26" s="1"/>
  <c r="AD57" i="49"/>
  <c r="AF57"/>
  <c r="Q58" s="1"/>
  <c r="AI58" i="48"/>
  <c r="V58"/>
  <c r="X58" s="1"/>
  <c r="T58"/>
  <c r="Z58" s="1"/>
  <c r="AB58" s="1"/>
  <c r="AY57" i="51" l="1"/>
  <c r="AZ57"/>
  <c r="W57"/>
  <c r="L58" s="1"/>
  <c r="U57"/>
  <c r="Z57"/>
  <c r="AA57" s="1"/>
  <c r="Y57" i="53"/>
  <c r="M57" s="1"/>
  <c r="D57" i="28" s="1"/>
  <c r="AQ58" i="51"/>
  <c r="AN58"/>
  <c r="K57" i="26"/>
  <c r="Z57" i="53"/>
  <c r="P57"/>
  <c r="AA57" i="52"/>
  <c r="AG57" i="53"/>
  <c r="BB58" i="52"/>
  <c r="BD58" s="1"/>
  <c r="AO58"/>
  <c r="AR58" s="1"/>
  <c r="AP58"/>
  <c r="P58"/>
  <c r="N58"/>
  <c r="AV58"/>
  <c r="AW58"/>
  <c r="AD58" i="48"/>
  <c r="AJ58"/>
  <c r="E58" i="26" s="1"/>
  <c r="AF58" i="48"/>
  <c r="Q59" s="1"/>
  <c r="AA58" i="49"/>
  <c r="S58"/>
  <c r="AA58" i="54"/>
  <c r="S58"/>
  <c r="T57" i="53" l="1"/>
  <c r="I57" i="28" s="1"/>
  <c r="N58" i="51"/>
  <c r="P58"/>
  <c r="AW58"/>
  <c r="AV58"/>
  <c r="AO58"/>
  <c r="AR58" s="1"/>
  <c r="AP58"/>
  <c r="BB58"/>
  <c r="BD58" s="1"/>
  <c r="Q58" i="52"/>
  <c r="S58"/>
  <c r="T58" s="1"/>
  <c r="E57" i="28"/>
  <c r="Q57" i="53"/>
  <c r="AS58" i="52"/>
  <c r="AM59" s="1"/>
  <c r="BE58"/>
  <c r="AU58"/>
  <c r="M58" s="1"/>
  <c r="O58" s="1"/>
  <c r="V58" i="54"/>
  <c r="X58" s="1"/>
  <c r="T58"/>
  <c r="Z58" s="1"/>
  <c r="AB58" s="1"/>
  <c r="AI58"/>
  <c r="AI58" i="49"/>
  <c r="V58"/>
  <c r="X58" s="1"/>
  <c r="T58"/>
  <c r="Z58" s="1"/>
  <c r="AB58" s="1"/>
  <c r="S59" i="48"/>
  <c r="AA59"/>
  <c r="V58" i="53" l="1"/>
  <c r="L58" s="1"/>
  <c r="C58" i="28" s="1"/>
  <c r="AU58" i="51"/>
  <c r="M58" s="1"/>
  <c r="O58" s="1"/>
  <c r="BE58"/>
  <c r="AS58"/>
  <c r="AM59" s="1"/>
  <c r="Q58"/>
  <c r="S58"/>
  <c r="T58" s="1"/>
  <c r="F57" i="28"/>
  <c r="R57" i="53"/>
  <c r="G57" i="28" s="1"/>
  <c r="AN59" i="52"/>
  <c r="AQ59"/>
  <c r="AZ58"/>
  <c r="AY58"/>
  <c r="W58"/>
  <c r="L59" s="1"/>
  <c r="Z58"/>
  <c r="U58"/>
  <c r="AD58" i="49"/>
  <c r="AJ58"/>
  <c r="F58" i="26" s="1"/>
  <c r="AF58" i="49"/>
  <c r="Q59" s="1"/>
  <c r="AJ58" i="54"/>
  <c r="G58" i="26" s="1"/>
  <c r="AD58" i="54"/>
  <c r="AF58"/>
  <c r="Q59" s="1"/>
  <c r="T59" i="48"/>
  <c r="Z59" s="1"/>
  <c r="AB59" s="1"/>
  <c r="AI59"/>
  <c r="V59"/>
  <c r="X59" s="1"/>
  <c r="N58" i="53" l="1"/>
  <c r="Z58" s="1"/>
  <c r="U58" i="51"/>
  <c r="W58"/>
  <c r="L59" s="1"/>
  <c r="Z58"/>
  <c r="AA58" s="1"/>
  <c r="Y58" i="53"/>
  <c r="M58" s="1"/>
  <c r="D58" i="28" s="1"/>
  <c r="AN59" i="51"/>
  <c r="AQ59"/>
  <c r="AZ58"/>
  <c r="AY58"/>
  <c r="K58" i="26"/>
  <c r="AO59" i="52"/>
  <c r="AR59" s="1"/>
  <c r="BB59"/>
  <c r="BD59" s="1"/>
  <c r="AP59"/>
  <c r="P59"/>
  <c r="AV59"/>
  <c r="AW59"/>
  <c r="N59"/>
  <c r="AG58" i="53"/>
  <c r="AA58" i="52"/>
  <c r="S59" i="54"/>
  <c r="AA59"/>
  <c r="AA59" i="49"/>
  <c r="S59"/>
  <c r="AJ59" i="48"/>
  <c r="E59" i="26" s="1"/>
  <c r="AD59" i="48"/>
  <c r="AF59"/>
  <c r="Q60" s="1"/>
  <c r="P58" i="53" l="1"/>
  <c r="E58" i="28" s="1"/>
  <c r="AO59" i="51"/>
  <c r="AR59" s="1"/>
  <c r="BB59"/>
  <c r="BD59" s="1"/>
  <c r="AP59"/>
  <c r="AW59"/>
  <c r="AV59"/>
  <c r="N59"/>
  <c r="P59"/>
  <c r="T58" i="53"/>
  <c r="I58" i="28" s="1"/>
  <c r="S59" i="52"/>
  <c r="T59" s="1"/>
  <c r="Q59"/>
  <c r="AS59"/>
  <c r="AM60" s="1"/>
  <c r="BE59"/>
  <c r="AU59"/>
  <c r="M59" s="1"/>
  <c r="O59" s="1"/>
  <c r="AI59" i="49"/>
  <c r="V59"/>
  <c r="X59" s="1"/>
  <c r="T59"/>
  <c r="Z59" s="1"/>
  <c r="AB59" s="1"/>
  <c r="T59" i="54"/>
  <c r="Z59" s="1"/>
  <c r="AB59" s="1"/>
  <c r="AI59"/>
  <c r="V59"/>
  <c r="X59" s="1"/>
  <c r="S60" i="48"/>
  <c r="AA60"/>
  <c r="V59" i="53" l="1"/>
  <c r="L59" s="1"/>
  <c r="C59" i="28" s="1"/>
  <c r="Q58" i="53"/>
  <c r="F58" i="28" s="1"/>
  <c r="AU59" i="51"/>
  <c r="M59" s="1"/>
  <c r="O59" s="1"/>
  <c r="BE59"/>
  <c r="AS59"/>
  <c r="AM60" s="1"/>
  <c r="Q59"/>
  <c r="S59"/>
  <c r="T59" s="1"/>
  <c r="AQ60" i="52"/>
  <c r="AN60"/>
  <c r="U59"/>
  <c r="Z59"/>
  <c r="W59"/>
  <c r="L60" s="1"/>
  <c r="AY59"/>
  <c r="AZ59"/>
  <c r="T60" i="48"/>
  <c r="Z60" s="1"/>
  <c r="AB60" s="1"/>
  <c r="AI60"/>
  <c r="V60"/>
  <c r="X60" s="1"/>
  <c r="AJ59" i="54"/>
  <c r="G59" i="26" s="1"/>
  <c r="AD59" i="54"/>
  <c r="AF59"/>
  <c r="Q60" s="1"/>
  <c r="AJ59" i="49"/>
  <c r="F59" i="26" s="1"/>
  <c r="AD59" i="49"/>
  <c r="AF59"/>
  <c r="Q60" s="1"/>
  <c r="R58" i="53" l="1"/>
  <c r="G58" i="28" s="1"/>
  <c r="N59" i="53"/>
  <c r="Z59" s="1"/>
  <c r="AQ60" i="51"/>
  <c r="AN60"/>
  <c r="W59"/>
  <c r="L60" s="1"/>
  <c r="U59"/>
  <c r="Z59"/>
  <c r="AA59" s="1"/>
  <c r="AZ59"/>
  <c r="AY59"/>
  <c r="Y59" i="53"/>
  <c r="M59" s="1"/>
  <c r="T59" s="1"/>
  <c r="AA59" i="52"/>
  <c r="AG59" i="53"/>
  <c r="AV60" i="52"/>
  <c r="P60"/>
  <c r="N60"/>
  <c r="AW60"/>
  <c r="BB60"/>
  <c r="BD60" s="1"/>
  <c r="AP60"/>
  <c r="AO60"/>
  <c r="AR60" s="1"/>
  <c r="K59" i="26"/>
  <c r="S60" i="49"/>
  <c r="AA60"/>
  <c r="S60" i="54"/>
  <c r="AA60"/>
  <c r="AJ60" i="48"/>
  <c r="E60" i="26" s="1"/>
  <c r="AD60" i="48"/>
  <c r="AF60"/>
  <c r="Q61" s="1"/>
  <c r="P59" i="53" l="1"/>
  <c r="E59" i="28" s="1"/>
  <c r="D59"/>
  <c r="AO60" i="51"/>
  <c r="AR60" s="1"/>
  <c r="BB60"/>
  <c r="BD60" s="1"/>
  <c r="AP60"/>
  <c r="P60"/>
  <c r="AV60"/>
  <c r="AW60"/>
  <c r="N60"/>
  <c r="S60" i="52"/>
  <c r="T60" s="1"/>
  <c r="Q60"/>
  <c r="AS60"/>
  <c r="AM61" s="1"/>
  <c r="BE60"/>
  <c r="AU60"/>
  <c r="M60" s="1"/>
  <c r="O60" s="1"/>
  <c r="I59" i="28"/>
  <c r="V60" i="53"/>
  <c r="L60" s="1"/>
  <c r="T60" i="49"/>
  <c r="Z60" s="1"/>
  <c r="AB60" s="1"/>
  <c r="AI60"/>
  <c r="V60"/>
  <c r="X60" s="1"/>
  <c r="AA61" i="48"/>
  <c r="S61"/>
  <c r="T60" i="54"/>
  <c r="Z60" s="1"/>
  <c r="AB60" s="1"/>
  <c r="V60"/>
  <c r="X60" s="1"/>
  <c r="AI60"/>
  <c r="Q59" i="53" l="1"/>
  <c r="F59" i="28" s="1"/>
  <c r="S60" i="51"/>
  <c r="T60" s="1"/>
  <c r="Q60"/>
  <c r="AS60"/>
  <c r="AM61" s="1"/>
  <c r="BE60"/>
  <c r="AU60"/>
  <c r="M60" s="1"/>
  <c r="O60" s="1"/>
  <c r="N60" i="53"/>
  <c r="C60" i="28"/>
  <c r="AQ61" i="52"/>
  <c r="AN61"/>
  <c r="AZ60"/>
  <c r="AY60"/>
  <c r="W60"/>
  <c r="L61" s="1"/>
  <c r="U60"/>
  <c r="Z60"/>
  <c r="AD60" i="49"/>
  <c r="AJ60"/>
  <c r="F60" i="26" s="1"/>
  <c r="AF60" i="49"/>
  <c r="Q61" s="1"/>
  <c r="AJ60" i="54"/>
  <c r="G60" i="26" s="1"/>
  <c r="AD60" i="54"/>
  <c r="AF60"/>
  <c r="Q61" s="1"/>
  <c r="AI61" i="48"/>
  <c r="T61"/>
  <c r="Z61" s="1"/>
  <c r="AB61" s="1"/>
  <c r="V61"/>
  <c r="X61" s="1"/>
  <c r="R59" i="53" l="1"/>
  <c r="G59" i="28" s="1"/>
  <c r="Z60" i="51"/>
  <c r="AA60" s="1"/>
  <c r="U60"/>
  <c r="W60"/>
  <c r="L61" s="1"/>
  <c r="AZ60"/>
  <c r="AY60"/>
  <c r="AN61"/>
  <c r="AQ61"/>
  <c r="Y60" i="53"/>
  <c r="M60" s="1"/>
  <c r="T60" s="1"/>
  <c r="BB61" i="52"/>
  <c r="BD61" s="1"/>
  <c r="AO61"/>
  <c r="AR61" s="1"/>
  <c r="AP61"/>
  <c r="Z60" i="53"/>
  <c r="P60"/>
  <c r="AG60"/>
  <c r="AA60" i="52"/>
  <c r="AV61"/>
  <c r="AW61"/>
  <c r="P61"/>
  <c r="N61"/>
  <c r="K60" i="26"/>
  <c r="AD61" i="48"/>
  <c r="AJ61"/>
  <c r="E61" i="26" s="1"/>
  <c r="AF61" i="48"/>
  <c r="Q62" s="1"/>
  <c r="AA61" i="49"/>
  <c r="S61"/>
  <c r="S61" i="54"/>
  <c r="AA61"/>
  <c r="BB61" i="51" l="1"/>
  <c r="BD61" s="1"/>
  <c r="AP61"/>
  <c r="AO61"/>
  <c r="AR61" s="1"/>
  <c r="D60" i="28"/>
  <c r="AV61" i="51"/>
  <c r="AW61"/>
  <c r="P61"/>
  <c r="N61"/>
  <c r="V61" i="53"/>
  <c r="L61" s="1"/>
  <c r="I60" i="28"/>
  <c r="AU61" i="52"/>
  <c r="M61" s="1"/>
  <c r="O61" s="1"/>
  <c r="AS61"/>
  <c r="AM62" s="1"/>
  <c r="BE61"/>
  <c r="Q60" i="53"/>
  <c r="F60" i="28" s="1"/>
  <c r="E60"/>
  <c r="Q61" i="52"/>
  <c r="S61"/>
  <c r="T61" s="1"/>
  <c r="AI61" i="49"/>
  <c r="V61"/>
  <c r="X61" s="1"/>
  <c r="T61"/>
  <c r="Z61" s="1"/>
  <c r="AB61" s="1"/>
  <c r="AA62" i="48"/>
  <c r="S62"/>
  <c r="AI61" i="54"/>
  <c r="T61"/>
  <c r="Z61" s="1"/>
  <c r="AB61" s="1"/>
  <c r="V61"/>
  <c r="X61" s="1"/>
  <c r="S61" i="51" l="1"/>
  <c r="T61" s="1"/>
  <c r="Q61"/>
  <c r="AU61"/>
  <c r="M61" s="1"/>
  <c r="O61" s="1"/>
  <c r="Y61" i="53" s="1"/>
  <c r="M61" s="1"/>
  <c r="D61" i="28" s="1"/>
  <c r="BE61" i="51"/>
  <c r="AS61"/>
  <c r="AM62" s="1"/>
  <c r="R60" i="53"/>
  <c r="G60" i="28" s="1"/>
  <c r="N61" i="53"/>
  <c r="C61" i="28"/>
  <c r="Z61" i="52"/>
  <c r="U61"/>
  <c r="W61"/>
  <c r="L62" s="1"/>
  <c r="AZ61"/>
  <c r="AY61"/>
  <c r="AN62"/>
  <c r="AQ62"/>
  <c r="AJ61" i="54"/>
  <c r="G61" i="26" s="1"/>
  <c r="AD61" i="54"/>
  <c r="AF61"/>
  <c r="Q62" s="1"/>
  <c r="T62" i="48"/>
  <c r="Z62" s="1"/>
  <c r="AB62" s="1"/>
  <c r="AI62"/>
  <c r="V62"/>
  <c r="X62" s="1"/>
  <c r="AJ61" i="49"/>
  <c r="F61" i="26" s="1"/>
  <c r="AD61" i="49"/>
  <c r="AF61"/>
  <c r="Q62" s="1"/>
  <c r="AQ62" i="51" l="1"/>
  <c r="AN62"/>
  <c r="AZ61"/>
  <c r="AY61"/>
  <c r="W61"/>
  <c r="L62" s="1"/>
  <c r="Z61"/>
  <c r="AA61" s="1"/>
  <c r="U61"/>
  <c r="Z61" i="53"/>
  <c r="P61"/>
  <c r="AP62" i="52"/>
  <c r="AO62"/>
  <c r="AR62" s="1"/>
  <c r="BB62"/>
  <c r="BD62" s="1"/>
  <c r="P62"/>
  <c r="N62"/>
  <c r="AW62"/>
  <c r="AV62"/>
  <c r="AG61" i="53"/>
  <c r="AA61" i="52"/>
  <c r="T61" i="53"/>
  <c r="K61" i="26"/>
  <c r="S62" i="54"/>
  <c r="AA62"/>
  <c r="S62" i="49"/>
  <c r="AA62"/>
  <c r="AD62" i="48"/>
  <c r="AJ62"/>
  <c r="E62" i="26" s="1"/>
  <c r="AF62" i="48"/>
  <c r="Q63" s="1"/>
  <c r="AW62" i="51" l="1"/>
  <c r="AV62"/>
  <c r="P62"/>
  <c r="N62"/>
  <c r="BB62"/>
  <c r="BD62" s="1"/>
  <c r="AO62"/>
  <c r="AR62" s="1"/>
  <c r="AP62"/>
  <c r="Q62" i="52"/>
  <c r="S62"/>
  <c r="T62" s="1"/>
  <c r="E61" i="28"/>
  <c r="Q61" i="53"/>
  <c r="I61" i="28"/>
  <c r="V62" i="53"/>
  <c r="L62" s="1"/>
  <c r="AS62" i="52"/>
  <c r="AM63" s="1"/>
  <c r="BE62"/>
  <c r="AU62"/>
  <c r="M62" s="1"/>
  <c r="O62" s="1"/>
  <c r="AA63" i="48"/>
  <c r="S63"/>
  <c r="AI62" i="54"/>
  <c r="T62"/>
  <c r="Z62" s="1"/>
  <c r="AB62" s="1"/>
  <c r="V62"/>
  <c r="X62" s="1"/>
  <c r="T62" i="49"/>
  <c r="Z62" s="1"/>
  <c r="AB62" s="1"/>
  <c r="AI62"/>
  <c r="V62"/>
  <c r="X62" s="1"/>
  <c r="AS62" i="51" l="1"/>
  <c r="AM63" s="1"/>
  <c r="BE62"/>
  <c r="AU62"/>
  <c r="M62" s="1"/>
  <c r="O62" s="1"/>
  <c r="Y62" i="53" s="1"/>
  <c r="M62" s="1"/>
  <c r="Q62" i="51"/>
  <c r="S62"/>
  <c r="T62" s="1"/>
  <c r="F61" i="28"/>
  <c r="R61" i="53"/>
  <c r="G61" i="28" s="1"/>
  <c r="U62" i="52"/>
  <c r="W62"/>
  <c r="L63" s="1"/>
  <c r="Z62"/>
  <c r="AZ62"/>
  <c r="AY62"/>
  <c r="C62" i="28"/>
  <c r="N62" i="53"/>
  <c r="AN63" i="52"/>
  <c r="AQ63"/>
  <c r="T63" i="48"/>
  <c r="Z63" s="1"/>
  <c r="AB63" s="1"/>
  <c r="V63"/>
  <c r="X63" s="1"/>
  <c r="AI63"/>
  <c r="AD62" i="54"/>
  <c r="AJ62"/>
  <c r="G62" i="26" s="1"/>
  <c r="AF62" i="54"/>
  <c r="Q63" s="1"/>
  <c r="AD62" i="49"/>
  <c r="AJ62"/>
  <c r="F62" i="26" s="1"/>
  <c r="AF62" i="49"/>
  <c r="Q63" s="1"/>
  <c r="AN63" i="51" l="1"/>
  <c r="AQ63"/>
  <c r="Z62"/>
  <c r="AA62" s="1"/>
  <c r="U62"/>
  <c r="W62"/>
  <c r="L63" s="1"/>
  <c r="AY62"/>
  <c r="AZ62"/>
  <c r="P62" i="53"/>
  <c r="Z62"/>
  <c r="BB63" i="52"/>
  <c r="BD63" s="1"/>
  <c r="AP63"/>
  <c r="AO63"/>
  <c r="AR63" s="1"/>
  <c r="P63"/>
  <c r="AW63"/>
  <c r="AV63"/>
  <c r="N63"/>
  <c r="D62" i="28"/>
  <c r="T62" i="53"/>
  <c r="AA62" i="52"/>
  <c r="AG62" i="53"/>
  <c r="K62" i="26"/>
  <c r="S63" i="54"/>
  <c r="AA63"/>
  <c r="AD63" i="48"/>
  <c r="AJ63"/>
  <c r="E63" i="26" s="1"/>
  <c r="AF63" i="48"/>
  <c r="Q64" s="1"/>
  <c r="AA63" i="49"/>
  <c r="S63"/>
  <c r="AV63" i="51" l="1"/>
  <c r="N63"/>
  <c r="P63"/>
  <c r="AW63"/>
  <c r="BB63"/>
  <c r="BD63" s="1"/>
  <c r="AO63"/>
  <c r="AR63" s="1"/>
  <c r="AP63"/>
  <c r="AS63" i="52"/>
  <c r="AM64" s="1"/>
  <c r="AU63"/>
  <c r="M63" s="1"/>
  <c r="O63" s="1"/>
  <c r="BE63"/>
  <c r="E62" i="28"/>
  <c r="Q62" i="53"/>
  <c r="S63" i="52"/>
  <c r="T63" s="1"/>
  <c r="Q63"/>
  <c r="V63" i="53"/>
  <c r="L63" s="1"/>
  <c r="I62" i="28"/>
  <c r="AI63" i="49"/>
  <c r="T63"/>
  <c r="Z63" s="1"/>
  <c r="AB63" s="1"/>
  <c r="V63"/>
  <c r="X63" s="1"/>
  <c r="AI63" i="54"/>
  <c r="T63"/>
  <c r="Z63" s="1"/>
  <c r="AB63" s="1"/>
  <c r="V63"/>
  <c r="X63" s="1"/>
  <c r="S64" i="48"/>
  <c r="AA64"/>
  <c r="AS63" i="51" l="1"/>
  <c r="AM64" s="1"/>
  <c r="BE63"/>
  <c r="AU63"/>
  <c r="M63" s="1"/>
  <c r="O63" s="1"/>
  <c r="Q63"/>
  <c r="S63"/>
  <c r="T63" s="1"/>
  <c r="F62" i="28"/>
  <c r="R62" i="53"/>
  <c r="G62" i="28" s="1"/>
  <c r="AQ64" i="52"/>
  <c r="AN64"/>
  <c r="U63"/>
  <c r="W63"/>
  <c r="L64" s="1"/>
  <c r="Z63"/>
  <c r="AY63"/>
  <c r="AZ63"/>
  <c r="N63" i="53"/>
  <c r="C63" i="28"/>
  <c r="AJ63" i="54"/>
  <c r="G63" i="26" s="1"/>
  <c r="AD63" i="54"/>
  <c r="AF63"/>
  <c r="Q64" s="1"/>
  <c r="AD63" i="49"/>
  <c r="AJ63"/>
  <c r="F63" i="26" s="1"/>
  <c r="K63" s="1"/>
  <c r="AF63" i="49"/>
  <c r="Q64" s="1"/>
  <c r="V64" i="48"/>
  <c r="X64" s="1"/>
  <c r="T64"/>
  <c r="Z64" s="1"/>
  <c r="AB64" s="1"/>
  <c r="AI64"/>
  <c r="AQ64" i="51" l="1"/>
  <c r="AN64"/>
  <c r="U63"/>
  <c r="Z63"/>
  <c r="AA63" s="1"/>
  <c r="W63"/>
  <c r="L64" s="1"/>
  <c r="AZ63"/>
  <c r="AY63"/>
  <c r="Y63" i="53"/>
  <c r="M63" s="1"/>
  <c r="T63" s="1"/>
  <c r="P63"/>
  <c r="Z63"/>
  <c r="AG63"/>
  <c r="AA63" i="52"/>
  <c r="BB64"/>
  <c r="BD64" s="1"/>
  <c r="AO64"/>
  <c r="AR64" s="1"/>
  <c r="AP64"/>
  <c r="AW64"/>
  <c r="P64"/>
  <c r="AV64"/>
  <c r="N64"/>
  <c r="S64" i="54"/>
  <c r="AA64"/>
  <c r="S64" i="49"/>
  <c r="AA64"/>
  <c r="AJ64" i="48"/>
  <c r="E64" i="26" s="1"/>
  <c r="AD64" i="48"/>
  <c r="AF64"/>
  <c r="Q65" s="1"/>
  <c r="AO64" i="51" l="1"/>
  <c r="AR64" s="1"/>
  <c r="AP64"/>
  <c r="BB64"/>
  <c r="BD64" s="1"/>
  <c r="D63" i="28"/>
  <c r="AV64" i="51"/>
  <c r="P64"/>
  <c r="N64"/>
  <c r="AW64"/>
  <c r="I63" i="28"/>
  <c r="V64" i="53"/>
  <c r="L64" s="1"/>
  <c r="Q64" i="52"/>
  <c r="S64"/>
  <c r="T64" s="1"/>
  <c r="E63" i="28"/>
  <c r="Q63" i="53"/>
  <c r="F63" i="28" s="1"/>
  <c r="AU64" i="52"/>
  <c r="M64" s="1"/>
  <c r="O64" s="1"/>
  <c r="AS64"/>
  <c r="AM65" s="1"/>
  <c r="BE64"/>
  <c r="T64" i="54"/>
  <c r="Z64" s="1"/>
  <c r="AB64" s="1"/>
  <c r="AI64"/>
  <c r="V64"/>
  <c r="X64" s="1"/>
  <c r="S65" i="48"/>
  <c r="AA65"/>
  <c r="AI64" i="49"/>
  <c r="V64"/>
  <c r="X64" s="1"/>
  <c r="T64"/>
  <c r="Z64" s="1"/>
  <c r="AB64" s="1"/>
  <c r="AU64" i="51" l="1"/>
  <c r="M64" s="1"/>
  <c r="O64" s="1"/>
  <c r="BE64"/>
  <c r="AS64"/>
  <c r="AM65" s="1"/>
  <c r="Q64"/>
  <c r="S64"/>
  <c r="T64" s="1"/>
  <c r="R63" i="53"/>
  <c r="G63" i="28" s="1"/>
  <c r="U64" i="52"/>
  <c r="Z64"/>
  <c r="W64"/>
  <c r="L65" s="1"/>
  <c r="AY64"/>
  <c r="AZ64"/>
  <c r="C64" i="28"/>
  <c r="N64" i="53"/>
  <c r="AN65" i="52"/>
  <c r="AQ65"/>
  <c r="AD64" i="49"/>
  <c r="AJ64"/>
  <c r="F64" i="26" s="1"/>
  <c r="AF64" i="49"/>
  <c r="Q65" s="1"/>
  <c r="AI65" i="48"/>
  <c r="T65"/>
  <c r="Z65" s="1"/>
  <c r="AB65" s="1"/>
  <c r="V65"/>
  <c r="X65" s="1"/>
  <c r="AJ64" i="54"/>
  <c r="G64" i="26" s="1"/>
  <c r="AD64" i="54"/>
  <c r="AF64"/>
  <c r="Q65" s="1"/>
  <c r="W64" i="51" l="1"/>
  <c r="L65" s="1"/>
  <c r="U64"/>
  <c r="Z64"/>
  <c r="AA64" s="1"/>
  <c r="AN65"/>
  <c r="AQ65"/>
  <c r="AY64"/>
  <c r="AZ64"/>
  <c r="Y64" i="53"/>
  <c r="M64" s="1"/>
  <c r="T64" s="1"/>
  <c r="BB65" i="52"/>
  <c r="BD65" s="1"/>
  <c r="AO65"/>
  <c r="AR65" s="1"/>
  <c r="AP65"/>
  <c r="AA64"/>
  <c r="AG64" i="53"/>
  <c r="Z64"/>
  <c r="P64"/>
  <c r="AV65" i="52"/>
  <c r="AW65"/>
  <c r="N65"/>
  <c r="P65"/>
  <c r="K64" i="26"/>
  <c r="S65" i="54"/>
  <c r="AA65"/>
  <c r="AD65" i="48"/>
  <c r="AJ65"/>
  <c r="E65" i="26" s="1"/>
  <c r="AF65" i="48"/>
  <c r="Q66" s="1"/>
  <c r="AA65" i="49"/>
  <c r="S65"/>
  <c r="D64" i="28" l="1"/>
  <c r="AV65" i="51"/>
  <c r="P65"/>
  <c r="AW65"/>
  <c r="N65"/>
  <c r="AP65"/>
  <c r="AO65"/>
  <c r="AR65" s="1"/>
  <c r="BB65"/>
  <c r="BD65" s="1"/>
  <c r="I64" i="28"/>
  <c r="V65" i="53"/>
  <c r="L65" s="1"/>
  <c r="AS65" i="52"/>
  <c r="AM66" s="1"/>
  <c r="BE65"/>
  <c r="AU65"/>
  <c r="M65" s="1"/>
  <c r="O65" s="1"/>
  <c r="S65"/>
  <c r="T65" s="1"/>
  <c r="Q65"/>
  <c r="E64" i="28"/>
  <c r="Q64" i="53"/>
  <c r="F64" i="28" s="1"/>
  <c r="AI65" i="54"/>
  <c r="T65"/>
  <c r="Z65" s="1"/>
  <c r="AB65" s="1"/>
  <c r="V65"/>
  <c r="X65" s="1"/>
  <c r="AI65" i="49"/>
  <c r="T65"/>
  <c r="Z65" s="1"/>
  <c r="AB65" s="1"/>
  <c r="V65"/>
  <c r="X65" s="1"/>
  <c r="AA66" i="48"/>
  <c r="S66"/>
  <c r="S65" i="51" l="1"/>
  <c r="T65" s="1"/>
  <c r="Q65"/>
  <c r="AS65"/>
  <c r="AM66" s="1"/>
  <c r="BE65"/>
  <c r="AU65"/>
  <c r="M65" s="1"/>
  <c r="O65" s="1"/>
  <c r="R64" i="53"/>
  <c r="G64" i="28" s="1"/>
  <c r="Z65" i="52"/>
  <c r="U65"/>
  <c r="W65"/>
  <c r="L66" s="1"/>
  <c r="C65" i="28"/>
  <c r="N65" i="53"/>
  <c r="AZ65" i="52"/>
  <c r="AY65"/>
  <c r="AN66"/>
  <c r="AQ66"/>
  <c r="AI66" i="48"/>
  <c r="V66"/>
  <c r="X66" s="1"/>
  <c r="T66"/>
  <c r="Z66" s="1"/>
  <c r="AB66" s="1"/>
  <c r="AD65" i="49"/>
  <c r="AJ65"/>
  <c r="F65" i="26" s="1"/>
  <c r="AF65" i="49"/>
  <c r="Q66" s="1"/>
  <c r="AJ65" i="54"/>
  <c r="G65" i="26" s="1"/>
  <c r="AD65" i="54"/>
  <c r="AF65"/>
  <c r="Q66" s="1"/>
  <c r="U65" i="51" l="1"/>
  <c r="Z65"/>
  <c r="AA65" s="1"/>
  <c r="W65"/>
  <c r="L66" s="1"/>
  <c r="AZ65"/>
  <c r="AY65"/>
  <c r="Y65" i="53"/>
  <c r="M65" s="1"/>
  <c r="D65" i="28" s="1"/>
  <c r="AQ66" i="51"/>
  <c r="AN66"/>
  <c r="AG65" i="53"/>
  <c r="AA65" i="52"/>
  <c r="BB66"/>
  <c r="BD66" s="1"/>
  <c r="AP66"/>
  <c r="AO66"/>
  <c r="AR66" s="1"/>
  <c r="P65" i="53"/>
  <c r="Z65"/>
  <c r="P66" i="52"/>
  <c r="AV66"/>
  <c r="N66"/>
  <c r="AW66"/>
  <c r="K65" i="26"/>
  <c r="AD66" i="48"/>
  <c r="AJ66"/>
  <c r="E66" i="26" s="1"/>
  <c r="AF66" i="48"/>
  <c r="Q67" s="1"/>
  <c r="AA66" i="54"/>
  <c r="S66"/>
  <c r="S66" i="49"/>
  <c r="AA66"/>
  <c r="T65" i="53" l="1"/>
  <c r="I65" i="28" s="1"/>
  <c r="AP66" i="51"/>
  <c r="AO66"/>
  <c r="AR66" s="1"/>
  <c r="BB66"/>
  <c r="BD66" s="1"/>
  <c r="N66"/>
  <c r="AV66"/>
  <c r="AW66"/>
  <c r="P66"/>
  <c r="AU66" i="52"/>
  <c r="M66" s="1"/>
  <c r="O66" s="1"/>
  <c r="AS66"/>
  <c r="AM67" s="1"/>
  <c r="BE66"/>
  <c r="Q65" i="53"/>
  <c r="F65" i="28" s="1"/>
  <c r="E65"/>
  <c r="S66" i="52"/>
  <c r="T66" s="1"/>
  <c r="Q66"/>
  <c r="AI66" i="54"/>
  <c r="T66"/>
  <c r="Z66" s="1"/>
  <c r="AB66" s="1"/>
  <c r="V66"/>
  <c r="X66" s="1"/>
  <c r="S67" i="48"/>
  <c r="AA67"/>
  <c r="AI66" i="49"/>
  <c r="T66"/>
  <c r="Z66" s="1"/>
  <c r="AB66" s="1"/>
  <c r="V66"/>
  <c r="X66" s="1"/>
  <c r="V66" i="53" l="1"/>
  <c r="L66" s="1"/>
  <c r="N66" s="1"/>
  <c r="BE66" i="51"/>
  <c r="AU66"/>
  <c r="M66" s="1"/>
  <c r="O66" s="1"/>
  <c r="Y66" i="53" s="1"/>
  <c r="AS66" i="51"/>
  <c r="AM67" s="1"/>
  <c r="Q66"/>
  <c r="S66"/>
  <c r="T66" s="1"/>
  <c r="R65" i="53"/>
  <c r="G65" i="28" s="1"/>
  <c r="AZ66" i="52"/>
  <c r="AY66"/>
  <c r="Z66"/>
  <c r="U66"/>
  <c r="W66"/>
  <c r="L67" s="1"/>
  <c r="AN67"/>
  <c r="AQ67"/>
  <c r="AD66" i="49"/>
  <c r="AJ66"/>
  <c r="F66" i="26" s="1"/>
  <c r="AF66" i="49"/>
  <c r="Q67" s="1"/>
  <c r="AJ66" i="54"/>
  <c r="G66" i="26" s="1"/>
  <c r="AD66" i="54"/>
  <c r="AF66"/>
  <c r="Q67" s="1"/>
  <c r="V67" i="48"/>
  <c r="X67" s="1"/>
  <c r="AI67"/>
  <c r="T67"/>
  <c r="Z67" s="1"/>
  <c r="AB67" s="1"/>
  <c r="C66" i="28" l="1"/>
  <c r="M66" i="53"/>
  <c r="D66" i="28" s="1"/>
  <c r="W66" i="51"/>
  <c r="L67" s="1"/>
  <c r="U66"/>
  <c r="Z66"/>
  <c r="AA66" s="1"/>
  <c r="AN67"/>
  <c r="AQ67"/>
  <c r="AZ66"/>
  <c r="AY66"/>
  <c r="BB67" i="52"/>
  <c r="BD67" s="1"/>
  <c r="AP67"/>
  <c r="AO67"/>
  <c r="AR67" s="1"/>
  <c r="AG66" i="53"/>
  <c r="AA66" i="52"/>
  <c r="AV67"/>
  <c r="AW67"/>
  <c r="P67"/>
  <c r="N67"/>
  <c r="Z66" i="53"/>
  <c r="P66"/>
  <c r="K66" i="26"/>
  <c r="AD67" i="48"/>
  <c r="AJ67"/>
  <c r="E67" i="26" s="1"/>
  <c r="AF67" i="48"/>
  <c r="Q68" s="1"/>
  <c r="AA67" i="49"/>
  <c r="S67"/>
  <c r="S67" i="54"/>
  <c r="AA67"/>
  <c r="T66" i="53" l="1"/>
  <c r="I66" i="28" s="1"/>
  <c r="AW67" i="51"/>
  <c r="AV67"/>
  <c r="P67"/>
  <c r="N67"/>
  <c r="AO67"/>
  <c r="AR67" s="1"/>
  <c r="AP67"/>
  <c r="BB67"/>
  <c r="BD67" s="1"/>
  <c r="Q66" i="53"/>
  <c r="E66" i="28"/>
  <c r="AS67" i="52"/>
  <c r="AM68" s="1"/>
  <c r="BE67"/>
  <c r="AU67"/>
  <c r="M67" s="1"/>
  <c r="O67" s="1"/>
  <c r="S67"/>
  <c r="T67" s="1"/>
  <c r="Q67"/>
  <c r="T67" i="49"/>
  <c r="Z67" s="1"/>
  <c r="AB67" s="1"/>
  <c r="V67"/>
  <c r="X67" s="1"/>
  <c r="AI67"/>
  <c r="V67" i="54"/>
  <c r="X67" s="1"/>
  <c r="AI67"/>
  <c r="T67"/>
  <c r="Z67" s="1"/>
  <c r="AB67" s="1"/>
  <c r="AA68" i="48"/>
  <c r="S68"/>
  <c r="V67" i="53" l="1"/>
  <c r="L67" s="1"/>
  <c r="N67" s="1"/>
  <c r="BE67" i="51"/>
  <c r="AU67"/>
  <c r="M67" s="1"/>
  <c r="O67" s="1"/>
  <c r="AS67"/>
  <c r="AM68" s="1"/>
  <c r="Q67"/>
  <c r="S67"/>
  <c r="T67" s="1"/>
  <c r="F66" i="28"/>
  <c r="R66" i="53"/>
  <c r="G66" i="28" s="1"/>
  <c r="AZ67" i="52"/>
  <c r="AY67"/>
  <c r="W67"/>
  <c r="L68" s="1"/>
  <c r="Z67"/>
  <c r="U67"/>
  <c r="AN68"/>
  <c r="AQ68"/>
  <c r="T68" i="48"/>
  <c r="Z68" s="1"/>
  <c r="AB68" s="1"/>
  <c r="V68"/>
  <c r="X68" s="1"/>
  <c r="AI68"/>
  <c r="AJ67" i="49"/>
  <c r="F67" i="26" s="1"/>
  <c r="AD67" i="49"/>
  <c r="AF67"/>
  <c r="Q68" s="1"/>
  <c r="AD67" i="54"/>
  <c r="AJ67"/>
  <c r="G67" i="26" s="1"/>
  <c r="AF67" i="54"/>
  <c r="Q68" s="1"/>
  <c r="C67" i="28" l="1"/>
  <c r="U67" i="51"/>
  <c r="W67"/>
  <c r="L68" s="1"/>
  <c r="Z67"/>
  <c r="AA67" s="1"/>
  <c r="AB68" s="1"/>
  <c r="AQ68"/>
  <c r="AN68"/>
  <c r="Y67" i="53"/>
  <c r="M67" s="1"/>
  <c r="D67" i="28" s="1"/>
  <c r="AZ67" i="51"/>
  <c r="AY67"/>
  <c r="AA67" i="52"/>
  <c r="AB68" s="1"/>
  <c r="AG67" i="53"/>
  <c r="AP68" i="52"/>
  <c r="AO68"/>
  <c r="AR68" s="1"/>
  <c r="BB68"/>
  <c r="BD68" s="1"/>
  <c r="Z67" i="53"/>
  <c r="P67"/>
  <c r="AV68" i="52"/>
  <c r="N68"/>
  <c r="P68"/>
  <c r="AW68"/>
  <c r="K67" i="26"/>
  <c r="AA68" i="54"/>
  <c r="S68"/>
  <c r="AJ68" i="48"/>
  <c r="E68" i="26" s="1"/>
  <c r="AD68" i="48"/>
  <c r="AF68"/>
  <c r="Q69" s="1"/>
  <c r="S68" i="49"/>
  <c r="AA68"/>
  <c r="T67" i="53" l="1"/>
  <c r="V68" s="1"/>
  <c r="L68" s="1"/>
  <c r="C68" i="28" s="1"/>
  <c r="AP68" i="51"/>
  <c r="BB68"/>
  <c r="BD68" s="1"/>
  <c r="AO68"/>
  <c r="AR68" s="1"/>
  <c r="AW68"/>
  <c r="N68"/>
  <c r="AV68"/>
  <c r="P68"/>
  <c r="Q68" i="52"/>
  <c r="AZ68" s="1"/>
  <c r="S68"/>
  <c r="T68" s="1"/>
  <c r="E67" i="28"/>
  <c r="Q67" i="53"/>
  <c r="F67" i="28" s="1"/>
  <c r="AS68" i="52"/>
  <c r="AM69" s="1"/>
  <c r="AU68"/>
  <c r="M68" s="1"/>
  <c r="O68" s="1"/>
  <c r="BE68"/>
  <c r="AX68"/>
  <c r="AA69" i="48"/>
  <c r="S69"/>
  <c r="T68" i="54"/>
  <c r="Z68" s="1"/>
  <c r="AB68" s="1"/>
  <c r="V68"/>
  <c r="X68" s="1"/>
  <c r="AI68"/>
  <c r="V68" i="49"/>
  <c r="X68" s="1"/>
  <c r="AI68"/>
  <c r="T68"/>
  <c r="Z68" s="1"/>
  <c r="AB68" s="1"/>
  <c r="N68" i="53" l="1"/>
  <c r="P68" s="1"/>
  <c r="E68" i="28" s="1"/>
  <c r="I67"/>
  <c r="AX68" i="51"/>
  <c r="AX69" s="1"/>
  <c r="AX70" s="1"/>
  <c r="AX71" s="1"/>
  <c r="AX72" s="1"/>
  <c r="AX73" s="1"/>
  <c r="AX74" s="1"/>
  <c r="AX75" s="1"/>
  <c r="AX76" s="1"/>
  <c r="AX77" s="1"/>
  <c r="AX78" s="1"/>
  <c r="AX79" s="1"/>
  <c r="S68"/>
  <c r="T68" s="1"/>
  <c r="Q68"/>
  <c r="AZ68" s="1"/>
  <c r="AS68"/>
  <c r="AM69" s="1"/>
  <c r="BE68"/>
  <c r="AU68"/>
  <c r="M68" s="1"/>
  <c r="O68" s="1"/>
  <c r="Y68" i="53" s="1"/>
  <c r="M68" s="1"/>
  <c r="R67"/>
  <c r="G67" i="28" s="1"/>
  <c r="AQ69" i="52"/>
  <c r="AN69"/>
  <c r="U68"/>
  <c r="Z68"/>
  <c r="W68"/>
  <c r="L69" s="1"/>
  <c r="AX69"/>
  <c r="AX70" s="1"/>
  <c r="AX71" s="1"/>
  <c r="AX72" s="1"/>
  <c r="AX73" s="1"/>
  <c r="AX74" s="1"/>
  <c r="AX75" s="1"/>
  <c r="AX76" s="1"/>
  <c r="AX77" s="1"/>
  <c r="AX78" s="1"/>
  <c r="AX79" s="1"/>
  <c r="AY68"/>
  <c r="AD68" i="49"/>
  <c r="AJ68"/>
  <c r="F68" i="26" s="1"/>
  <c r="AF68" i="49"/>
  <c r="Q69" s="1"/>
  <c r="T69" i="48"/>
  <c r="Z69" s="1"/>
  <c r="AB69" s="1"/>
  <c r="V69"/>
  <c r="X69" s="1"/>
  <c r="AI69"/>
  <c r="AD68" i="54"/>
  <c r="AJ68"/>
  <c r="G68" i="26" s="1"/>
  <c r="AF68" i="54"/>
  <c r="Q69" s="1"/>
  <c r="Q68" i="53" l="1"/>
  <c r="F68" i="28" s="1"/>
  <c r="Z68" i="53"/>
  <c r="AY68" i="51"/>
  <c r="W68"/>
  <c r="L69" s="1"/>
  <c r="U68"/>
  <c r="Z68"/>
  <c r="AA68" s="1"/>
  <c r="AN69"/>
  <c r="AQ69"/>
  <c r="R68" i="53"/>
  <c r="G68" i="28" s="1"/>
  <c r="AW69" i="52"/>
  <c r="AV69"/>
  <c r="P69"/>
  <c r="N69"/>
  <c r="D68" i="28"/>
  <c r="T68" i="53"/>
  <c r="AP69" i="52"/>
  <c r="AO69"/>
  <c r="AR69" s="1"/>
  <c r="BB69"/>
  <c r="BD69" s="1"/>
  <c r="AG68" i="53"/>
  <c r="AA68" i="52"/>
  <c r="K68" i="26"/>
  <c r="AJ69" i="48"/>
  <c r="E69" i="26" s="1"/>
  <c r="AD69" i="48"/>
  <c r="AF69"/>
  <c r="Q70" s="1"/>
  <c r="AA69" i="54"/>
  <c r="S69"/>
  <c r="S69" i="49"/>
  <c r="AA69"/>
  <c r="N69" i="51" l="1"/>
  <c r="AW69"/>
  <c r="AV69"/>
  <c r="P69"/>
  <c r="BB69"/>
  <c r="BD69" s="1"/>
  <c r="AO69"/>
  <c r="AR69" s="1"/>
  <c r="AP69"/>
  <c r="V69" i="53"/>
  <c r="L69" s="1"/>
  <c r="I68" i="28"/>
  <c r="Q69" i="52"/>
  <c r="S69"/>
  <c r="T69" s="1"/>
  <c r="AU69"/>
  <c r="M69" s="1"/>
  <c r="O69" s="1"/>
  <c r="BE69"/>
  <c r="AS69"/>
  <c r="AM70" s="1"/>
  <c r="T69" i="54"/>
  <c r="Z69" s="1"/>
  <c r="AB69" s="1"/>
  <c r="V69"/>
  <c r="X69" s="1"/>
  <c r="AI69"/>
  <c r="AA70" i="48"/>
  <c r="S70"/>
  <c r="T69" i="49"/>
  <c r="Z69" s="1"/>
  <c r="AB69" s="1"/>
  <c r="AI69"/>
  <c r="V69"/>
  <c r="X69" s="1"/>
  <c r="AU69" i="51" l="1"/>
  <c r="M69" s="1"/>
  <c r="O69" s="1"/>
  <c r="BE69"/>
  <c r="AS69"/>
  <c r="AM70" s="1"/>
  <c r="Q69"/>
  <c r="S69"/>
  <c r="T69" s="1"/>
  <c r="W69" i="52"/>
  <c r="L70" s="1"/>
  <c r="Z69"/>
  <c r="U69"/>
  <c r="C69" i="28"/>
  <c r="N69" i="53"/>
  <c r="AQ70" i="52"/>
  <c r="AN70"/>
  <c r="AZ69"/>
  <c r="AY69"/>
  <c r="AJ69" i="49"/>
  <c r="F69" i="26" s="1"/>
  <c r="AD69" i="49"/>
  <c r="AF69"/>
  <c r="Q70" s="1"/>
  <c r="V70" i="48"/>
  <c r="X70" s="1"/>
  <c r="T70"/>
  <c r="Z70" s="1"/>
  <c r="AB70" s="1"/>
  <c r="AI70"/>
  <c r="AJ69" i="54"/>
  <c r="G69" i="26" s="1"/>
  <c r="AD69" i="54"/>
  <c r="AF69"/>
  <c r="Q70" s="1"/>
  <c r="Z69" i="51" l="1"/>
  <c r="AA69" s="1"/>
  <c r="U69"/>
  <c r="W69"/>
  <c r="L70" s="1"/>
  <c r="AQ70"/>
  <c r="AN70"/>
  <c r="AY69"/>
  <c r="AZ69"/>
  <c r="Y69" i="53"/>
  <c r="M69" s="1"/>
  <c r="D69" i="28" s="1"/>
  <c r="N70" i="52"/>
  <c r="AW70"/>
  <c r="P70"/>
  <c r="AV70"/>
  <c r="BB70"/>
  <c r="BD70" s="1"/>
  <c r="AO70"/>
  <c r="AR70" s="1"/>
  <c r="AP70"/>
  <c r="AG69" i="53"/>
  <c r="AA69" i="52"/>
  <c r="P69" i="53"/>
  <c r="Z69"/>
  <c r="K69" i="26"/>
  <c r="AA70" i="54"/>
  <c r="S70"/>
  <c r="AD70" i="48"/>
  <c r="AJ70"/>
  <c r="E70" i="26" s="1"/>
  <c r="AF70" i="48"/>
  <c r="Q71" s="1"/>
  <c r="S70" i="49"/>
  <c r="AA70"/>
  <c r="T69" i="53" l="1"/>
  <c r="I69" i="28" s="1"/>
  <c r="BB70" i="51"/>
  <c r="BD70" s="1"/>
  <c r="AO70"/>
  <c r="AR70" s="1"/>
  <c r="AP70"/>
  <c r="N70"/>
  <c r="AV70"/>
  <c r="AW70"/>
  <c r="P70"/>
  <c r="Q69" i="53"/>
  <c r="F69" i="28" s="1"/>
  <c r="E69"/>
  <c r="AS70" i="52"/>
  <c r="AM71" s="1"/>
  <c r="AU70"/>
  <c r="M70" s="1"/>
  <c r="O70" s="1"/>
  <c r="BE70"/>
  <c r="S70"/>
  <c r="T70" s="1"/>
  <c r="Q70"/>
  <c r="T70" i="54"/>
  <c r="Z70" s="1"/>
  <c r="AB70" s="1"/>
  <c r="AI70"/>
  <c r="V70"/>
  <c r="X70" s="1"/>
  <c r="AI70" i="49"/>
  <c r="T70"/>
  <c r="Z70" s="1"/>
  <c r="AB70" s="1"/>
  <c r="V70"/>
  <c r="X70" s="1"/>
  <c r="S71" i="48"/>
  <c r="AA71"/>
  <c r="V70" i="53" l="1"/>
  <c r="L70" s="1"/>
  <c r="C70" i="28" s="1"/>
  <c r="R69" i="53"/>
  <c r="G69" i="28" s="1"/>
  <c r="BE70" i="51"/>
  <c r="AU70"/>
  <c r="M70" s="1"/>
  <c r="O70" s="1"/>
  <c r="Y70" i="53" s="1"/>
  <c r="AS70" i="51"/>
  <c r="AM71" s="1"/>
  <c r="S70"/>
  <c r="T70" s="1"/>
  <c r="Q70"/>
  <c r="AZ70" i="52"/>
  <c r="AY70"/>
  <c r="AN71"/>
  <c r="AQ71"/>
  <c r="Z70"/>
  <c r="U70"/>
  <c r="W70"/>
  <c r="L71" s="1"/>
  <c r="AJ70" i="49"/>
  <c r="F70" i="26" s="1"/>
  <c r="AD70" i="49"/>
  <c r="AF70"/>
  <c r="Q71" s="1"/>
  <c r="AJ70" i="54"/>
  <c r="G70" i="26" s="1"/>
  <c r="AD70" i="54"/>
  <c r="AF70"/>
  <c r="Q71" s="1"/>
  <c r="V71" i="48"/>
  <c r="X71" s="1"/>
  <c r="T71"/>
  <c r="Z71" s="1"/>
  <c r="AB71" s="1"/>
  <c r="AI71"/>
  <c r="N70" i="53" l="1"/>
  <c r="P70" s="1"/>
  <c r="M70"/>
  <c r="T70" s="1"/>
  <c r="AQ71" i="51"/>
  <c r="AN71"/>
  <c r="AZ70"/>
  <c r="AY70"/>
  <c r="U70"/>
  <c r="W70"/>
  <c r="L71" s="1"/>
  <c r="Z70"/>
  <c r="AA70" s="1"/>
  <c r="AO71" i="52"/>
  <c r="AR71" s="1"/>
  <c r="BB71"/>
  <c r="BD71" s="1"/>
  <c r="AP71"/>
  <c r="AG70" i="53"/>
  <c r="AA70" i="52"/>
  <c r="P71"/>
  <c r="AW71"/>
  <c r="N71"/>
  <c r="AV71"/>
  <c r="K70" i="26"/>
  <c r="AD71" i="48"/>
  <c r="AJ71"/>
  <c r="E71" i="26" s="1"/>
  <c r="AF71" i="48"/>
  <c r="Q72" s="1"/>
  <c r="AA71" i="49"/>
  <c r="S71"/>
  <c r="AA71" i="54"/>
  <c r="S71"/>
  <c r="Z70" i="53" l="1"/>
  <c r="D70" i="28"/>
  <c r="P71" i="51"/>
  <c r="AV71"/>
  <c r="N71"/>
  <c r="AW71"/>
  <c r="AO71"/>
  <c r="AR71" s="1"/>
  <c r="BB71"/>
  <c r="BD71" s="1"/>
  <c r="AP71"/>
  <c r="Q71" i="52"/>
  <c r="S71"/>
  <c r="T71" s="1"/>
  <c r="E70" i="28"/>
  <c r="Q70" i="53"/>
  <c r="AU71" i="52"/>
  <c r="M71" s="1"/>
  <c r="O71" s="1"/>
  <c r="BE71"/>
  <c r="AS71"/>
  <c r="AM72" s="1"/>
  <c r="I70" i="28"/>
  <c r="V71" i="53"/>
  <c r="L71" s="1"/>
  <c r="AA72" i="48"/>
  <c r="S72"/>
  <c r="V71" i="54"/>
  <c r="X71" s="1"/>
  <c r="T71"/>
  <c r="Z71" s="1"/>
  <c r="AB71" s="1"/>
  <c r="AI71"/>
  <c r="V71" i="49"/>
  <c r="X71" s="1"/>
  <c r="AI71"/>
  <c r="T71"/>
  <c r="Z71" s="1"/>
  <c r="AB71" s="1"/>
  <c r="BE71" i="51" l="1"/>
  <c r="AS71"/>
  <c r="AM72" s="1"/>
  <c r="AU71"/>
  <c r="M71" s="1"/>
  <c r="O71" s="1"/>
  <c r="Y71" i="53" s="1"/>
  <c r="M71" s="1"/>
  <c r="D71" i="28" s="1"/>
  <c r="Q71" i="51"/>
  <c r="S71"/>
  <c r="T71" s="1"/>
  <c r="F70" i="28"/>
  <c r="R70" i="53"/>
  <c r="G70" i="28" s="1"/>
  <c r="N71" i="53"/>
  <c r="C71" i="28"/>
  <c r="Z71" i="52"/>
  <c r="U71"/>
  <c r="W71"/>
  <c r="L72" s="1"/>
  <c r="AZ71"/>
  <c r="AY71"/>
  <c r="AQ72"/>
  <c r="AN72"/>
  <c r="AD71" i="54"/>
  <c r="AJ71"/>
  <c r="G71" i="26" s="1"/>
  <c r="AF71" i="54"/>
  <c r="Q72" s="1"/>
  <c r="AD71" i="49"/>
  <c r="AJ71"/>
  <c r="F71" i="26" s="1"/>
  <c r="AF71" i="49"/>
  <c r="Q72" s="1"/>
  <c r="T72" i="48"/>
  <c r="Z72" s="1"/>
  <c r="AB72" s="1"/>
  <c r="AI72"/>
  <c r="V72"/>
  <c r="X72" s="1"/>
  <c r="U71" i="51" l="1"/>
  <c r="Z71"/>
  <c r="AA71" s="1"/>
  <c r="W71"/>
  <c r="L72" s="1"/>
  <c r="AN72"/>
  <c r="AQ72"/>
  <c r="AZ71"/>
  <c r="AY71"/>
  <c r="T71" i="53"/>
  <c r="V72" s="1"/>
  <c r="L72" s="1"/>
  <c r="K71" i="26"/>
  <c r="AG71" i="53"/>
  <c r="AA71" i="52"/>
  <c r="Z71" i="53"/>
  <c r="P71"/>
  <c r="BB72" i="52"/>
  <c r="BD72" s="1"/>
  <c r="AO72"/>
  <c r="AR72" s="1"/>
  <c r="AP72"/>
  <c r="P72"/>
  <c r="N72"/>
  <c r="AV72"/>
  <c r="AW72"/>
  <c r="S72" i="49"/>
  <c r="AA72"/>
  <c r="S72" i="54"/>
  <c r="AA72"/>
  <c r="AD72" i="48"/>
  <c r="AJ72"/>
  <c r="E72" i="26" s="1"/>
  <c r="AF72" i="48"/>
  <c r="Q73" s="1"/>
  <c r="BB72" i="51" l="1"/>
  <c r="BD72" s="1"/>
  <c r="AP72"/>
  <c r="AO72"/>
  <c r="AR72" s="1"/>
  <c r="AW72"/>
  <c r="N72"/>
  <c r="AV72"/>
  <c r="P72"/>
  <c r="C72" i="28"/>
  <c r="N72" i="53"/>
  <c r="Z72" s="1"/>
  <c r="I71" i="28"/>
  <c r="Q72" i="52"/>
  <c r="S72"/>
  <c r="T72" s="1"/>
  <c r="E71" i="28"/>
  <c r="Q71" i="53"/>
  <c r="F71" i="28" s="1"/>
  <c r="AS72" i="52"/>
  <c r="AM73" s="1"/>
  <c r="AU72"/>
  <c r="M72" s="1"/>
  <c r="O72" s="1"/>
  <c r="BE72"/>
  <c r="AA73" i="48"/>
  <c r="S73"/>
  <c r="AI72" i="49"/>
  <c r="V72"/>
  <c r="X72" s="1"/>
  <c r="T72"/>
  <c r="Z72" s="1"/>
  <c r="AB72" s="1"/>
  <c r="V72" i="54"/>
  <c r="X72" s="1"/>
  <c r="T72"/>
  <c r="Z72" s="1"/>
  <c r="AB72" s="1"/>
  <c r="AI72"/>
  <c r="Q72" i="51" l="1"/>
  <c r="S72"/>
  <c r="T72" s="1"/>
  <c r="BE72"/>
  <c r="AU72"/>
  <c r="M72" s="1"/>
  <c r="O72" s="1"/>
  <c r="Y72" i="53" s="1"/>
  <c r="M72" s="1"/>
  <c r="AS72" i="51"/>
  <c r="AM73" s="1"/>
  <c r="R71" i="53"/>
  <c r="G71" i="28" s="1"/>
  <c r="P72" i="53"/>
  <c r="Q72" s="1"/>
  <c r="F72" i="28" s="1"/>
  <c r="AQ73" i="52"/>
  <c r="AN73"/>
  <c r="AY72"/>
  <c r="AZ72"/>
  <c r="Z72"/>
  <c r="W72"/>
  <c r="L73" s="1"/>
  <c r="U72"/>
  <c r="AI73" i="48"/>
  <c r="T73"/>
  <c r="Z73" s="1"/>
  <c r="AB73" s="1"/>
  <c r="V73"/>
  <c r="X73" s="1"/>
  <c r="AD72" i="54"/>
  <c r="AJ72"/>
  <c r="G72" i="26" s="1"/>
  <c r="AF72" i="54"/>
  <c r="Q73" s="1"/>
  <c r="AD72" i="49"/>
  <c r="AJ72"/>
  <c r="F72" i="26" s="1"/>
  <c r="AF72" i="49"/>
  <c r="Q73" s="1"/>
  <c r="R72" i="53" l="1"/>
  <c r="G72" i="28" s="1"/>
  <c r="AN73" i="51"/>
  <c r="AQ73"/>
  <c r="AY72"/>
  <c r="AZ72"/>
  <c r="W72"/>
  <c r="L73" s="1"/>
  <c r="Z72"/>
  <c r="AA72" s="1"/>
  <c r="U72"/>
  <c r="E72" i="28"/>
  <c r="AG72" i="53"/>
  <c r="AA72" i="52"/>
  <c r="AV73"/>
  <c r="AW73"/>
  <c r="P73"/>
  <c r="N73"/>
  <c r="AP73"/>
  <c r="BB73"/>
  <c r="BD73" s="1"/>
  <c r="AO73"/>
  <c r="AR73" s="1"/>
  <c r="D72" i="28"/>
  <c r="T72" i="53"/>
  <c r="K72" i="26"/>
  <c r="AA73" i="49"/>
  <c r="S73"/>
  <c r="AJ73" i="48"/>
  <c r="E73" i="26" s="1"/>
  <c r="AD73" i="48"/>
  <c r="AF73"/>
  <c r="Q74" s="1"/>
  <c r="S73" i="54"/>
  <c r="AA73"/>
  <c r="N73" i="51" l="1"/>
  <c r="P73"/>
  <c r="AV73"/>
  <c r="AW73"/>
  <c r="AP73"/>
  <c r="AO73"/>
  <c r="AR73" s="1"/>
  <c r="BB73"/>
  <c r="BD73" s="1"/>
  <c r="BE73" i="52"/>
  <c r="AS73"/>
  <c r="AM74" s="1"/>
  <c r="AU73"/>
  <c r="M73" s="1"/>
  <c r="O73" s="1"/>
  <c r="Q73"/>
  <c r="S73"/>
  <c r="T73" s="1"/>
  <c r="V73" i="53"/>
  <c r="L73" s="1"/>
  <c r="I72" i="28"/>
  <c r="S74" i="48"/>
  <c r="AA74"/>
  <c r="T73" i="54"/>
  <c r="Z73" s="1"/>
  <c r="AB73" s="1"/>
  <c r="V73"/>
  <c r="X73" s="1"/>
  <c r="AI73"/>
  <c r="AI73" i="49"/>
  <c r="V73"/>
  <c r="X73" s="1"/>
  <c r="T73"/>
  <c r="Z73" s="1"/>
  <c r="AB73" s="1"/>
  <c r="BE73" i="51" l="1"/>
  <c r="AU73"/>
  <c r="M73" s="1"/>
  <c r="O73" s="1"/>
  <c r="AS73"/>
  <c r="AM74" s="1"/>
  <c r="Q73"/>
  <c r="S73"/>
  <c r="T73" s="1"/>
  <c r="AZ73" i="52"/>
  <c r="AY73"/>
  <c r="N73" i="53"/>
  <c r="C73" i="28"/>
  <c r="AN74" i="52"/>
  <c r="AQ74"/>
  <c r="W73"/>
  <c r="L74" s="1"/>
  <c r="Z73"/>
  <c r="U73"/>
  <c r="T74" i="48"/>
  <c r="Z74" s="1"/>
  <c r="AB74" s="1"/>
  <c r="AI74"/>
  <c r="V74"/>
  <c r="X74" s="1"/>
  <c r="AJ73" i="49"/>
  <c r="F73" i="26" s="1"/>
  <c r="AD73" i="49"/>
  <c r="AF73"/>
  <c r="Q74" s="1"/>
  <c r="AJ73" i="54"/>
  <c r="G73" i="26" s="1"/>
  <c r="AD73" i="54"/>
  <c r="AF73"/>
  <c r="Q74" s="1"/>
  <c r="W73" i="51" l="1"/>
  <c r="L74" s="1"/>
  <c r="U73"/>
  <c r="Z73"/>
  <c r="AA73" s="1"/>
  <c r="AQ74"/>
  <c r="AN74"/>
  <c r="AZ73"/>
  <c r="AY73"/>
  <c r="Y73" i="53"/>
  <c r="M73" s="1"/>
  <c r="D73" i="28" s="1"/>
  <c r="N74" i="52"/>
  <c r="P74"/>
  <c r="AV74"/>
  <c r="AW74"/>
  <c r="AA73"/>
  <c r="AG73" i="53"/>
  <c r="BB74" i="52"/>
  <c r="BD74" s="1"/>
  <c r="AO74"/>
  <c r="AR74" s="1"/>
  <c r="AP74"/>
  <c r="P73" i="53"/>
  <c r="Z73"/>
  <c r="K73" i="26"/>
  <c r="AA74" i="54"/>
  <c r="S74"/>
  <c r="AJ74" i="48"/>
  <c r="E74" i="26" s="1"/>
  <c r="AD74" i="48"/>
  <c r="AF74"/>
  <c r="Q75" s="1"/>
  <c r="AA74" i="49"/>
  <c r="S74"/>
  <c r="T73" i="53" l="1"/>
  <c r="I73" i="28" s="1"/>
  <c r="AP74" i="51"/>
  <c r="AO74"/>
  <c r="AR74" s="1"/>
  <c r="BB74"/>
  <c r="BD74" s="1"/>
  <c r="N74"/>
  <c r="P74"/>
  <c r="AW74"/>
  <c r="AV74"/>
  <c r="BE74" i="52"/>
  <c r="AS74"/>
  <c r="AM75" s="1"/>
  <c r="AU74"/>
  <c r="M74" s="1"/>
  <c r="O74" s="1"/>
  <c r="Q73" i="53"/>
  <c r="F73" i="28" s="1"/>
  <c r="E73"/>
  <c r="S74" i="52"/>
  <c r="T74" s="1"/>
  <c r="Q74"/>
  <c r="AI74" i="49"/>
  <c r="V74"/>
  <c r="X74" s="1"/>
  <c r="T74"/>
  <c r="Z74" s="1"/>
  <c r="AB74" s="1"/>
  <c r="V74" i="54"/>
  <c r="X74" s="1"/>
  <c r="AI74"/>
  <c r="T74"/>
  <c r="Z74" s="1"/>
  <c r="AB74" s="1"/>
  <c r="S75" i="48"/>
  <c r="AA75"/>
  <c r="R73" i="53" l="1"/>
  <c r="G73" i="28" s="1"/>
  <c r="V74" i="53"/>
  <c r="L74" s="1"/>
  <c r="N74" s="1"/>
  <c r="AS74" i="51"/>
  <c r="AM75" s="1"/>
  <c r="BE74"/>
  <c r="AU74"/>
  <c r="M74" s="1"/>
  <c r="O74" s="1"/>
  <c r="Y74" i="53" s="1"/>
  <c r="S74" i="51"/>
  <c r="T74" s="1"/>
  <c r="Q74"/>
  <c r="AQ75" i="52"/>
  <c r="AN75"/>
  <c r="AZ74"/>
  <c r="AY74"/>
  <c r="U74"/>
  <c r="W74"/>
  <c r="L75" s="1"/>
  <c r="Z74"/>
  <c r="AJ74" i="49"/>
  <c r="F74" i="26" s="1"/>
  <c r="AD74" i="49"/>
  <c r="AF74"/>
  <c r="Q75" s="1"/>
  <c r="T75" i="48"/>
  <c r="Z75" s="1"/>
  <c r="AB75" s="1"/>
  <c r="V75"/>
  <c r="X75" s="1"/>
  <c r="AI75"/>
  <c r="AJ74" i="54"/>
  <c r="G74" i="26" s="1"/>
  <c r="AD74" i="54"/>
  <c r="AF74"/>
  <c r="Q75" s="1"/>
  <c r="C74" i="28" l="1"/>
  <c r="M74" i="53"/>
  <c r="D74" i="28" s="1"/>
  <c r="AQ75" i="51"/>
  <c r="AN75"/>
  <c r="AZ74"/>
  <c r="AY74"/>
  <c r="U74"/>
  <c r="W74"/>
  <c r="L75" s="1"/>
  <c r="Z74"/>
  <c r="AA74" s="1"/>
  <c r="Z74" i="53"/>
  <c r="P74"/>
  <c r="AA74" i="52"/>
  <c r="AG74" i="53"/>
  <c r="AP75" i="52"/>
  <c r="BB75"/>
  <c r="BD75" s="1"/>
  <c r="AO75"/>
  <c r="AR75" s="1"/>
  <c r="AV75"/>
  <c r="N75"/>
  <c r="P75"/>
  <c r="AW75"/>
  <c r="K74" i="26"/>
  <c r="AD75" i="48"/>
  <c r="AJ75"/>
  <c r="E75" i="26" s="1"/>
  <c r="AF75" i="48"/>
  <c r="Q76" s="1"/>
  <c r="AA75" i="54"/>
  <c r="S75"/>
  <c r="AA75" i="49"/>
  <c r="S75"/>
  <c r="T74" i="53" l="1"/>
  <c r="V75" s="1"/>
  <c r="L75" s="1"/>
  <c r="AV75" i="51"/>
  <c r="N75"/>
  <c r="P75"/>
  <c r="AW75"/>
  <c r="BB75"/>
  <c r="BD75" s="1"/>
  <c r="AP75"/>
  <c r="AO75"/>
  <c r="AR75" s="1"/>
  <c r="E74" i="28"/>
  <c r="Q74" i="53"/>
  <c r="S75" i="52"/>
  <c r="T75" s="1"/>
  <c r="Q75"/>
  <c r="AS75"/>
  <c r="AM76" s="1"/>
  <c r="BE75"/>
  <c r="AU75"/>
  <c r="M75" s="1"/>
  <c r="O75" s="1"/>
  <c r="AI75" i="49"/>
  <c r="V75"/>
  <c r="X75" s="1"/>
  <c r="T75"/>
  <c r="Z75" s="1"/>
  <c r="AB75" s="1"/>
  <c r="V75" i="54"/>
  <c r="X75" s="1"/>
  <c r="AI75"/>
  <c r="T75"/>
  <c r="Z75" s="1"/>
  <c r="AB75" s="1"/>
  <c r="AA76" i="48"/>
  <c r="S76"/>
  <c r="I74" i="28" l="1"/>
  <c r="BE75" i="51"/>
  <c r="AU75"/>
  <c r="M75" s="1"/>
  <c r="O75" s="1"/>
  <c r="Y75" i="53" s="1"/>
  <c r="M75" s="1"/>
  <c r="AS75" i="51"/>
  <c r="AM76" s="1"/>
  <c r="Q75"/>
  <c r="S75"/>
  <c r="T75" s="1"/>
  <c r="F74" i="28"/>
  <c r="R74" i="53"/>
  <c r="G74" i="28" s="1"/>
  <c r="AZ75" i="52"/>
  <c r="AY75"/>
  <c r="AQ76"/>
  <c r="AN76"/>
  <c r="C75" i="28"/>
  <c r="N75" i="53"/>
  <c r="W75" i="52"/>
  <c r="L76" s="1"/>
  <c r="U75"/>
  <c r="Z75"/>
  <c r="AD75" i="54"/>
  <c r="AJ75"/>
  <c r="G75" i="26" s="1"/>
  <c r="AF75" i="54"/>
  <c r="Q76" s="1"/>
  <c r="AD75" i="49"/>
  <c r="AJ75"/>
  <c r="F75" i="26" s="1"/>
  <c r="AF75" i="49"/>
  <c r="Q76" s="1"/>
  <c r="V76" i="48"/>
  <c r="X76" s="1"/>
  <c r="T76"/>
  <c r="Z76" s="1"/>
  <c r="AB76" s="1"/>
  <c r="AI76"/>
  <c r="Z75" i="51" l="1"/>
  <c r="AA75" s="1"/>
  <c r="U75"/>
  <c r="W75"/>
  <c r="L76" s="1"/>
  <c r="AQ76"/>
  <c r="AN76"/>
  <c r="AY75"/>
  <c r="AZ75"/>
  <c r="N76" i="52"/>
  <c r="P76"/>
  <c r="AV76"/>
  <c r="AW76"/>
  <c r="AO76"/>
  <c r="AR76" s="1"/>
  <c r="AP76"/>
  <c r="BB76"/>
  <c r="BD76" s="1"/>
  <c r="AG75" i="53"/>
  <c r="AA75" i="52"/>
  <c r="D75" i="28"/>
  <c r="T75" i="53"/>
  <c r="Z75"/>
  <c r="P75"/>
  <c r="K75" i="26"/>
  <c r="AD76" i="48"/>
  <c r="AJ76"/>
  <c r="E76" i="26" s="1"/>
  <c r="AF76" i="48"/>
  <c r="Q77" s="1"/>
  <c r="AA76" i="54"/>
  <c r="S76"/>
  <c r="S76" i="49"/>
  <c r="AA76"/>
  <c r="AP76" i="51" l="1"/>
  <c r="BB76"/>
  <c r="BD76" s="1"/>
  <c r="AO76"/>
  <c r="AR76" s="1"/>
  <c r="P76"/>
  <c r="AV76"/>
  <c r="N76"/>
  <c r="AW76"/>
  <c r="E75" i="28"/>
  <c r="Q75" i="53"/>
  <c r="BE76" i="52"/>
  <c r="AS76"/>
  <c r="AM77" s="1"/>
  <c r="AU76"/>
  <c r="M76" s="1"/>
  <c r="O76" s="1"/>
  <c r="S76"/>
  <c r="T76" s="1"/>
  <c r="Q76"/>
  <c r="I75" i="28"/>
  <c r="V76" i="53"/>
  <c r="L76" s="1"/>
  <c r="S77" i="48"/>
  <c r="AA77"/>
  <c r="AI76" i="54"/>
  <c r="T76"/>
  <c r="Z76" s="1"/>
  <c r="AB76" s="1"/>
  <c r="V76"/>
  <c r="X76" s="1"/>
  <c r="T76" i="49"/>
  <c r="Z76" s="1"/>
  <c r="AB76" s="1"/>
  <c r="V76"/>
  <c r="X76" s="1"/>
  <c r="AI76"/>
  <c r="AS76" i="51" l="1"/>
  <c r="AM77" s="1"/>
  <c r="AU76"/>
  <c r="M76" s="1"/>
  <c r="O76" s="1"/>
  <c r="Y76" i="53" s="1"/>
  <c r="M76" s="1"/>
  <c r="BE76" i="51"/>
  <c r="S76"/>
  <c r="T76" s="1"/>
  <c r="Q76"/>
  <c r="F75" i="28"/>
  <c r="R75" i="53"/>
  <c r="G75" i="28" s="1"/>
  <c r="AQ77" i="52"/>
  <c r="AN77"/>
  <c r="N76" i="53"/>
  <c r="C76" i="28"/>
  <c r="Z76" i="52"/>
  <c r="W76"/>
  <c r="L77" s="1"/>
  <c r="U76"/>
  <c r="AZ76"/>
  <c r="AY76"/>
  <c r="AD76" i="54"/>
  <c r="AJ76"/>
  <c r="G76" i="26" s="1"/>
  <c r="AF76" i="54"/>
  <c r="Q77" s="1"/>
  <c r="AD76" i="49"/>
  <c r="AJ76"/>
  <c r="F76" i="26" s="1"/>
  <c r="AF76" i="49"/>
  <c r="Q77" s="1"/>
  <c r="AI77" i="48"/>
  <c r="T77"/>
  <c r="Z77" s="1"/>
  <c r="AB77" s="1"/>
  <c r="V77"/>
  <c r="X77" s="1"/>
  <c r="AY76" i="51" l="1"/>
  <c r="AZ76"/>
  <c r="AN77"/>
  <c r="AQ77"/>
  <c r="Z76"/>
  <c r="AA76" s="1"/>
  <c r="U76"/>
  <c r="W76"/>
  <c r="L77" s="1"/>
  <c r="K76" i="26"/>
  <c r="D76" i="28"/>
  <c r="T76" i="53"/>
  <c r="AA76" i="52"/>
  <c r="AG76" i="53"/>
  <c r="AO77" i="52"/>
  <c r="AR77" s="1"/>
  <c r="BB77"/>
  <c r="BD77" s="1"/>
  <c r="AP77"/>
  <c r="AV77"/>
  <c r="AW77"/>
  <c r="P77"/>
  <c r="N77"/>
  <c r="P76" i="53"/>
  <c r="Z76"/>
  <c r="AD77" i="48"/>
  <c r="AJ77"/>
  <c r="E77" i="26" s="1"/>
  <c r="AF77" i="48"/>
  <c r="Q78" s="1"/>
  <c r="AA77" i="49"/>
  <c r="S77"/>
  <c r="AA77" i="54"/>
  <c r="S77"/>
  <c r="P77" i="51" l="1"/>
  <c r="N77"/>
  <c r="AV77"/>
  <c r="AW77"/>
  <c r="BB77"/>
  <c r="BD77" s="1"/>
  <c r="AP77"/>
  <c r="AO77"/>
  <c r="AR77" s="1"/>
  <c r="E76" i="28"/>
  <c r="Q76" i="53"/>
  <c r="AS77" i="52"/>
  <c r="AM78" s="1"/>
  <c r="BE77"/>
  <c r="AU77"/>
  <c r="M77" s="1"/>
  <c r="O77" s="1"/>
  <c r="S77"/>
  <c r="T77" s="1"/>
  <c r="Q77"/>
  <c r="V77" i="53"/>
  <c r="L77" s="1"/>
  <c r="I76" i="28"/>
  <c r="AA78" i="48"/>
  <c r="S78"/>
  <c r="AI77" i="54"/>
  <c r="T77"/>
  <c r="Z77" s="1"/>
  <c r="AB77" s="1"/>
  <c r="V77"/>
  <c r="X77" s="1"/>
  <c r="AI77" i="49"/>
  <c r="V77"/>
  <c r="X77" s="1"/>
  <c r="T77"/>
  <c r="Z77" s="1"/>
  <c r="AB77" s="1"/>
  <c r="S77" i="51" l="1"/>
  <c r="T77" s="1"/>
  <c r="Q77"/>
  <c r="AU77"/>
  <c r="M77" s="1"/>
  <c r="O77" s="1"/>
  <c r="BE77"/>
  <c r="AS77"/>
  <c r="AM78" s="1"/>
  <c r="F76" i="28"/>
  <c r="R76" i="53"/>
  <c r="G76" i="28" s="1"/>
  <c r="N77" i="53"/>
  <c r="C77" i="28"/>
  <c r="U77" i="52"/>
  <c r="Z77"/>
  <c r="W77"/>
  <c r="L78" s="1"/>
  <c r="AZ77"/>
  <c r="AY77"/>
  <c r="AQ78"/>
  <c r="AN78"/>
  <c r="AJ77" i="54"/>
  <c r="G77" i="26" s="1"/>
  <c r="AD77" i="54"/>
  <c r="AF77"/>
  <c r="Q78" s="1"/>
  <c r="T78" i="48"/>
  <c r="Z78" s="1"/>
  <c r="AB78" s="1"/>
  <c r="AI78"/>
  <c r="V78"/>
  <c r="X78" s="1"/>
  <c r="AJ77" i="49"/>
  <c r="F77" i="26" s="1"/>
  <c r="AD77" i="49"/>
  <c r="AF77"/>
  <c r="Q78" s="1"/>
  <c r="AN78" i="51" l="1"/>
  <c r="AQ78"/>
  <c r="AZ77"/>
  <c r="AY77"/>
  <c r="U77"/>
  <c r="W77"/>
  <c r="L78" s="1"/>
  <c r="Z77"/>
  <c r="AA77" s="1"/>
  <c r="Y77" i="53"/>
  <c r="M77" s="1"/>
  <c r="D77" i="28" s="1"/>
  <c r="BB78" i="52"/>
  <c r="BD78" s="1"/>
  <c r="AO78"/>
  <c r="AR78" s="1"/>
  <c r="AP78"/>
  <c r="P78"/>
  <c r="N78"/>
  <c r="AW78"/>
  <c r="AV78"/>
  <c r="AG77" i="53"/>
  <c r="AA77" i="52"/>
  <c r="Z77" i="53"/>
  <c r="P77"/>
  <c r="K77" i="26"/>
  <c r="AA78" i="49"/>
  <c r="S78"/>
  <c r="AJ78" i="48"/>
  <c r="E78" i="26" s="1"/>
  <c r="AD78" i="48"/>
  <c r="AF78"/>
  <c r="Q79" s="1"/>
  <c r="AA78" i="54"/>
  <c r="S78"/>
  <c r="T77" i="53" l="1"/>
  <c r="I77" i="28" s="1"/>
  <c r="AW78" i="51"/>
  <c r="AV78"/>
  <c r="P78"/>
  <c r="N78"/>
  <c r="AP78"/>
  <c r="BB78"/>
  <c r="BD78" s="1"/>
  <c r="AO78"/>
  <c r="AR78" s="1"/>
  <c r="Q78" i="52"/>
  <c r="S78"/>
  <c r="T78" s="1"/>
  <c r="E77" i="28"/>
  <c r="Q77" i="53"/>
  <c r="F77" i="28" s="1"/>
  <c r="AU78" i="52"/>
  <c r="M78" s="1"/>
  <c r="O78" s="1"/>
  <c r="AS78"/>
  <c r="AM79" s="1"/>
  <c r="BE78"/>
  <c r="AA79" i="48"/>
  <c r="S79"/>
  <c r="AI78" i="54"/>
  <c r="V78"/>
  <c r="X78" s="1"/>
  <c r="T78"/>
  <c r="Z78" s="1"/>
  <c r="AB78" s="1"/>
  <c r="T78" i="49"/>
  <c r="Z78" s="1"/>
  <c r="AB78" s="1"/>
  <c r="AI78"/>
  <c r="V78"/>
  <c r="X78" s="1"/>
  <c r="R77" i="53" l="1"/>
  <c r="G77" i="28" s="1"/>
  <c r="V78" i="53"/>
  <c r="L78" s="1"/>
  <c r="N78" s="1"/>
  <c r="P78" s="1"/>
  <c r="S78" i="51"/>
  <c r="T78" s="1"/>
  <c r="Q78"/>
  <c r="AU78"/>
  <c r="M78" s="1"/>
  <c r="O78" s="1"/>
  <c r="BE78"/>
  <c r="AS78"/>
  <c r="AM79" s="1"/>
  <c r="Z78" i="52"/>
  <c r="W78"/>
  <c r="L79" s="1"/>
  <c r="U78"/>
  <c r="AZ78"/>
  <c r="AY78"/>
  <c r="AN79"/>
  <c r="AQ79"/>
  <c r="AJ78" i="54"/>
  <c r="G78" i="26" s="1"/>
  <c r="AD78" i="54"/>
  <c r="AF78"/>
  <c r="Q79" s="1"/>
  <c r="T79" i="48"/>
  <c r="Z79" s="1"/>
  <c r="AB79" s="1"/>
  <c r="AB18" s="1"/>
  <c r="AI79"/>
  <c r="V79"/>
  <c r="AJ78" i="49"/>
  <c r="F78" i="26" s="1"/>
  <c r="AD78" i="49"/>
  <c r="AF78"/>
  <c r="Q79" s="1"/>
  <c r="C78" i="28" l="1"/>
  <c r="AN79" i="51"/>
  <c r="AQ79"/>
  <c r="AY78"/>
  <c r="AZ78"/>
  <c r="U78"/>
  <c r="Z78"/>
  <c r="AA78" s="1"/>
  <c r="W78"/>
  <c r="L79" s="1"/>
  <c r="Y78" i="53"/>
  <c r="M78" s="1"/>
  <c r="D78" i="28" s="1"/>
  <c r="Z78" i="53"/>
  <c r="K78" i="26"/>
  <c r="Q78" i="53"/>
  <c r="E78" i="28"/>
  <c r="AG78" i="53"/>
  <c r="AA78" i="52"/>
  <c r="BB79"/>
  <c r="BD79" s="1"/>
  <c r="BD18" s="1"/>
  <c r="AP79"/>
  <c r="AO79"/>
  <c r="AR79" s="1"/>
  <c r="P79"/>
  <c r="AV79"/>
  <c r="AW79"/>
  <c r="N79"/>
  <c r="X79" i="48"/>
  <c r="X18" s="1"/>
  <c r="V18"/>
  <c r="AJ79"/>
  <c r="E79" i="26" s="1"/>
  <c r="AF79" i="48"/>
  <c r="F31" s="1"/>
  <c r="AA79" i="54"/>
  <c r="S79"/>
  <c r="AA79" i="49"/>
  <c r="S79"/>
  <c r="T78" i="53" l="1"/>
  <c r="V79" s="1"/>
  <c r="L79" s="1"/>
  <c r="AO79" i="51"/>
  <c r="AR79" s="1"/>
  <c r="AP79"/>
  <c r="BB79"/>
  <c r="BD79" s="1"/>
  <c r="BD18" s="1"/>
  <c r="AW79"/>
  <c r="N79"/>
  <c r="P79"/>
  <c r="AV79"/>
  <c r="F78" i="28"/>
  <c r="R78" i="53"/>
  <c r="G78" i="28" s="1"/>
  <c r="AR18" i="52"/>
  <c r="AS79"/>
  <c r="BE79"/>
  <c r="AU79"/>
  <c r="M79" s="1"/>
  <c r="O79" s="1"/>
  <c r="S79"/>
  <c r="Q79"/>
  <c r="I78" i="28"/>
  <c r="AD79" i="48"/>
  <c r="V79" i="54"/>
  <c r="AI79"/>
  <c r="T79"/>
  <c r="Z79" s="1"/>
  <c r="AB79" s="1"/>
  <c r="AB18" s="1"/>
  <c r="AI79" i="49"/>
  <c r="V79"/>
  <c r="T79"/>
  <c r="Z79" s="1"/>
  <c r="AB79" s="1"/>
  <c r="AB18" s="1"/>
  <c r="AR18" i="51" l="1"/>
  <c r="BE79"/>
  <c r="AU79"/>
  <c r="M79" s="1"/>
  <c r="O79" s="1"/>
  <c r="Y79" i="53" s="1"/>
  <c r="M79" s="1"/>
  <c r="AS79" i="51"/>
  <c r="S79"/>
  <c r="Q79"/>
  <c r="S18" i="52"/>
  <c r="T79"/>
  <c r="AY79"/>
  <c r="AZ79"/>
  <c r="N79" i="53"/>
  <c r="C79" i="28"/>
  <c r="H16" s="1"/>
  <c r="H15" s="1"/>
  <c r="O18" i="52"/>
  <c r="Z79"/>
  <c r="W79"/>
  <c r="F33" s="1"/>
  <c r="X79" i="49"/>
  <c r="X18" s="1"/>
  <c r="V18"/>
  <c r="X79" i="54"/>
  <c r="X18" s="1"/>
  <c r="V18"/>
  <c r="AJ79" i="49"/>
  <c r="F79" i="26" s="1"/>
  <c r="AF79" i="49"/>
  <c r="F31" s="1"/>
  <c r="AJ79" i="54"/>
  <c r="G79" i="26" s="1"/>
  <c r="AF79" i="54"/>
  <c r="F31" s="1"/>
  <c r="S18" i="51" l="1"/>
  <c r="T79"/>
  <c r="T18" s="1"/>
  <c r="AY79"/>
  <c r="AZ79"/>
  <c r="O18"/>
  <c r="Z79"/>
  <c r="W79"/>
  <c r="F33" s="1"/>
  <c r="AD79" i="49"/>
  <c r="M18" i="53"/>
  <c r="D79" i="28"/>
  <c r="D80" s="1"/>
  <c r="T79" i="53"/>
  <c r="Z18" i="52"/>
  <c r="AA79"/>
  <c r="AG79" i="53"/>
  <c r="P79"/>
  <c r="Z79"/>
  <c r="T18" i="52"/>
  <c r="U79"/>
  <c r="K79" i="26"/>
  <c r="AD79" i="54"/>
  <c r="Z18" i="51" l="1"/>
  <c r="AA79"/>
  <c r="U79"/>
  <c r="I79" i="28"/>
  <c r="F30" i="53"/>
  <c r="P18"/>
  <c r="E79" i="28"/>
  <c r="E80" s="1"/>
  <c r="Q79" i="53"/>
  <c r="R79" s="1"/>
  <c r="G79" i="28" s="1"/>
  <c r="G80" s="1"/>
  <c r="N10" i="26"/>
  <c r="N11"/>
  <c r="Q18" i="53" l="1"/>
  <c r="F79" i="28"/>
  <c r="F80" s="1"/>
  <c r="H14"/>
  <c r="M19" i="26"/>
  <c r="M20"/>
  <c r="M21"/>
  <c r="M22"/>
  <c r="M23"/>
  <c r="M24"/>
  <c r="M25"/>
  <c r="M26"/>
  <c r="M27"/>
  <c r="M28"/>
  <c r="M29"/>
  <c r="M30"/>
  <c r="M31"/>
  <c r="M32"/>
  <c r="M33"/>
  <c r="M34"/>
  <c r="M35"/>
  <c r="M36"/>
  <c r="M37"/>
  <c r="M38"/>
  <c r="M39"/>
  <c r="M40"/>
  <c r="M41"/>
  <c r="M42"/>
  <c r="M43"/>
  <c r="M44"/>
  <c r="M45"/>
  <c r="M46"/>
  <c r="M47"/>
  <c r="M48"/>
  <c r="M49"/>
  <c r="M50"/>
  <c r="M51"/>
  <c r="M52"/>
  <c r="M53"/>
  <c r="M54"/>
  <c r="M55"/>
  <c r="M56"/>
  <c r="M57"/>
  <c r="M58"/>
  <c r="M59"/>
  <c r="M60"/>
  <c r="M61"/>
  <c r="M62"/>
  <c r="M63"/>
  <c r="M64"/>
  <c r="M65"/>
  <c r="M66"/>
  <c r="M67"/>
  <c r="M68"/>
  <c r="M69"/>
  <c r="M70"/>
  <c r="M71"/>
  <c r="M72"/>
  <c r="M73"/>
  <c r="M74"/>
  <c r="M75"/>
  <c r="M76"/>
  <c r="M77"/>
  <c r="M78"/>
  <c r="M79"/>
  <c r="N17" l="1"/>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<sst xmlns="http://schemas.openxmlformats.org/spreadsheetml/2006/main" count="17084" uniqueCount="10657">
  <si>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</si>
  <si>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</si>
  <si>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</si>
  <si>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</si>
  <si>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</si>
  <si>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</si>
  <si>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</si>
  <si>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</si>
  <si>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</si>
  <si>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</si>
  <si>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</si>
  <si>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</si>
  <si>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</si>
  <si>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</si>
  <si>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</si>
  <si>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</si>
  <si>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</si>
  <si>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</si>
  <si>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</si>
  <si>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</si>
  <si>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</si>
  <si>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</si>
  <si>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</si>
  <si>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</si>
  <si>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</si>
  <si>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</si>
  <si>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</si>
  <si>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</si>
  <si>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</si>
  <si>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</si>
  <si>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</si>
  <si>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Monto.Financiar</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</si>
  <si>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</si>
  <si>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</si>
  <si>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</si>
  <si>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</si>
  <si>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</si>
  <si>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</si>
  <si>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</si>
  <si>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</si>
  <si>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</si>
  <si>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</si>
  <si>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</si>
  <si>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</si>
  <si>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</si>
  <si>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</si>
  <si>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</si>
  <si>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</si>
  <si>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</si>
  <si>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</si>
  <si>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</si>
  <si>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</si>
  <si>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</si>
  <si>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</si>
  <si>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</si>
  <si>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</si>
  <si>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</si>
  <si>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</si>
  <si>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</si>
  <si>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</si>
  <si>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</si>
  <si>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</si>
  <si>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</si>
  <si>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</si>
  <si>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</si>
  <si>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</si>
  <si>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</si>
  <si>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</si>
  <si>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</si>
  <si>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</si>
  <si>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</si>
  <si>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Los cálculos fluyen de izquierda a derecha y arriba abajo.</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</si>
  <si>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</si>
  <si>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</si>
  <si>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</si>
  <si>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</si>
  <si>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</si>
  <si>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</si>
  <si>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</si>
  <si>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</si>
  <si>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</si>
  <si>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</si>
  <si>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</si>
  <si>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</si>
  <si>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</si>
  <si>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</si>
  <si>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</si>
  <si>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</si>
  <si>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</si>
  <si>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</si>
  <si>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</si>
  <si>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</si>
  <si>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</si>
  <si>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</si>
  <si>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</si>
  <si>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Después de correr la tabla:</t>
  </si>
  <si>
    <t>Periodos.Efectivos (Ciclo 1):</t>
  </si>
  <si>
    <t>Para eficientizar los cálculos, hacer los siguientes Search/Replace:</t>
  </si>
  <si>
    <t>Indirect(Rango.Dias.Periodo)</t>
  </si>
  <si>
    <t>-&gt;</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</si>
  <si>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</si>
  <si>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</si>
  <si>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</si>
  <si>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</si>
  <si>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</si>
  <si>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</si>
  <si>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</si>
  <si>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</si>
  <si>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</si>
  <si>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</si>
  <si>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</si>
  <si>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</si>
  <si>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Indirect(Rango.Dias.CAT)</t>
  </si>
  <si>
    <t>T_SoloAuto!_Pago_CAT</t>
  </si>
  <si>
    <t>T_VidaMulti!_Pago_CAT</t>
  </si>
  <si>
    <t>T_VidaAnual!_Pago_CAT</t>
  </si>
  <si>
    <t>Componentes de los flujos</t>
  </si>
  <si>
    <t>V2.2</t>
  </si>
  <si>
    <t>Tabla con Prepagos. Pago Pivote. Opción cíclica anual. Abonos Anticipados. Pagos para CAT.</t>
  </si>
  <si>
    <t>V2.1</t>
  </si>
  <si>
    <t>Las celdas sombreadas en rojo, son los parámetros de entrada de la hoja. Cuando se copie/mueva, éstas son las que hay que configurar.</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</si>
  <si>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</si>
  <si>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</si>
  <si>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</si>
  <si>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</si>
  <si>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</si>
  <si>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</si>
  <si>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</si>
  <si>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</si>
  <si>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</si>
  <si>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</si>
  <si>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</si>
  <si>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</si>
  <si>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</si>
  <si>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</si>
  <si>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</si>
  <si>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</si>
  <si>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</si>
  <si>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</si>
  <si>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Indirect(Rango.Abono.Anticipado)</t>
  </si>
  <si>
    <t>Indirect(Rango.Dias.Cat)</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</si>
  <si>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</si>
  <si>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</si>
  <si>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</si>
  <si>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</si>
  <si>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</si>
  <si>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</si>
  <si>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</si>
  <si>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</si>
  <si>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</si>
  <si>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</si>
  <si>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</si>
  <si>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</si>
  <si>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</si>
  <si>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</si>
  <si>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Pago.Fijo</t>
  </si>
  <si>
    <t>Se parametriza el rango del Abono Anticipado. El de Días Por Periodo se obtiene de la Tabla Estándar.</t>
  </si>
  <si>
    <t>_Capital</t>
  </si>
  <si>
    <t>Tabla.Estandar:</t>
  </si>
  <si>
    <t>_Dias_Interes_Periodo</t>
  </si>
  <si>
    <t>Tabla.Ciclica:</t>
  </si>
  <si>
    <t>_Pago_Fijo</t>
  </si>
  <si>
    <t>Periodos Efectivos:</t>
  </si>
  <si>
    <t>Indirect(Rango.Ciclico.Abono.Sobrante)</t>
  </si>
  <si>
    <t>Indirect(Rango.Ciclico.Capital)</t>
  </si>
  <si>
    <t>Indirect(Rango.Ciclico.Pago)</t>
  </si>
  <si>
    <t>Indirect(Rango.Ciclico.Saldo)</t>
  </si>
  <si>
    <t>Indirect(Rango.Estandar.Capital)</t>
  </si>
  <si>
    <t>Indirect(Rango.Estandar.Pago)</t>
  </si>
  <si>
    <t>Indirect(Rango.Estandar.Saldo)</t>
  </si>
  <si>
    <t>Indirect(Rango.Estandar.Dias.Periodo)</t>
  </si>
  <si>
    <t>T_Merger</t>
  </si>
  <si>
    <t>(Merger_EC)</t>
  </si>
  <si>
    <t>=CHOOSE(Opcion.Abono, _Abono_Opcion_1, _Abono_Opcion_2, _Abono_Opcion_3 )</t>
  </si>
  <si>
    <t>T_Merger!_Salida_Abono_1</t>
  </si>
  <si>
    <t>T_Merger!_Salida_Abono_2</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</si>
  <si>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</si>
  <si>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</si>
  <si>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</si>
  <si>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</si>
  <si>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</si>
  <si>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</si>
  <si>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</si>
  <si>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</si>
  <si>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</si>
  <si>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</si>
  <si>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</si>
  <si>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</si>
  <si>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</si>
  <si>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</si>
  <si>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</si>
  <si>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</si>
  <si>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</si>
  <si>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</si>
  <si>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</si>
  <si>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</si>
  <si>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</si>
  <si>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</si>
  <si>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</si>
  <si>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</si>
  <si>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</si>
  <si>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</si>
  <si>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</si>
  <si>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</si>
  <si>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</si>
  <si>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</si>
  <si>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</si>
  <si>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</si>
  <si>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</si>
  <si>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</si>
  <si>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</si>
  <si>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</si>
  <si>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</si>
  <si>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</si>
  <si>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</si>
  <si>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</si>
  <si>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</si>
  <si>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</si>
  <si>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</si>
  <si>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</si>
  <si>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</si>
  <si>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</si>
  <si>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</si>
  <si>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</si>
  <si>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</si>
  <si>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</si>
  <si>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</si>
  <si>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</si>
  <si>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</si>
  <si>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</si>
  <si>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</si>
  <si>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</si>
  <si>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</si>
  <si>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</si>
  <si>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</si>
  <si>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</si>
  <si>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</si>
  <si>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</si>
  <si>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</si>
  <si>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</si>
  <si>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</si>
  <si>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</si>
  <si>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</si>
  <si>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</si>
  <si>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</si>
  <si>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</si>
  <si>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</si>
  <si>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</si>
  <si>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</si>
  <si>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</si>
  <si>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</si>
  <si>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</si>
  <si>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</si>
  <si>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</si>
  <si>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</si>
  <si>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</si>
  <si>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</si>
  <si>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</si>
  <si>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</si>
  <si>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</si>
  <si>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</si>
  <si>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</si>
  <si>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</si>
  <si>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</si>
  <si>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</si>
  <si>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</si>
  <si>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</si>
  <si>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</si>
  <si>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</si>
  <si>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</si>
  <si>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</si>
  <si>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</si>
  <si>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</si>
  <si>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</si>
  <si>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</si>
  <si>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</si>
  <si>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</si>
  <si>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</si>
  <si>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</si>
  <si>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</si>
  <si>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</si>
  <si>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</si>
  <si>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</si>
  <si>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</si>
  <si>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</si>
  <si>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</si>
  <si>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</si>
  <si>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</si>
  <si>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</si>
  <si>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</si>
  <si>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</si>
  <si>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</si>
  <si>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</si>
  <si>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</si>
  <si>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</si>
  <si>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</si>
  <si>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</si>
  <si>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</si>
  <si>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</si>
  <si>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</si>
  <si>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</si>
  <si>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</si>
  <si>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</si>
  <si>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</si>
  <si>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</si>
  <si>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</si>
  <si>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</si>
  <si>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</si>
  <si>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</si>
  <si>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</si>
  <si>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</si>
  <si>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</si>
  <si>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</si>
  <si>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</si>
  <si>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</si>
  <si>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</si>
  <si>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</si>
  <si>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</si>
  <si>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</si>
  <si>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</si>
  <si>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</si>
  <si>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</si>
  <si>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</si>
  <si>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</si>
  <si>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</si>
  <si>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</si>
  <si>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</si>
  <si>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</si>
  <si>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</si>
  <si>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</si>
  <si>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</si>
  <si>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</si>
  <si>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</si>
  <si>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</si>
  <si>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</si>
  <si>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</si>
  <si>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</si>
  <si>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</si>
  <si>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</si>
  <si>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</si>
  <si>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</si>
  <si>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</si>
  <si>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</si>
  <si>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</si>
  <si>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</si>
  <si>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</si>
  <si>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</si>
  <si>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</si>
  <si>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</si>
  <si>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</si>
  <si>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</si>
  <si>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</si>
  <si>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</si>
  <si>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</si>
  <si>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</si>
  <si>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</si>
  <si>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</si>
  <si>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</si>
  <si>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</si>
  <si>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</si>
  <si>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</si>
  <si>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</si>
  <si>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</si>
  <si>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</si>
  <si>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</si>
  <si>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</si>
  <si>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</si>
  <si>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</si>
  <si>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</si>
  <si>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</si>
  <si>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</si>
  <si>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</si>
  <si>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</si>
  <si>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</si>
  <si>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</si>
  <si>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</si>
  <si>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</si>
  <si>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</si>
  <si>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</si>
  <si>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</si>
  <si>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</si>
  <si>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</si>
  <si>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</si>
  <si>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</si>
  <si>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</si>
  <si>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</si>
  <si>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</si>
  <si>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</si>
  <si>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</si>
  <si>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</si>
  <si>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</si>
  <si>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</si>
  <si>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</si>
  <si>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</si>
  <si>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</si>
  <si>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</si>
  <si>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</si>
  <si>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</si>
  <si>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</si>
  <si>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</si>
  <si>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</si>
  <si>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</si>
  <si>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</si>
  <si>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</si>
  <si>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</si>
  <si>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</si>
  <si>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</si>
  <si>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</si>
  <si>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</si>
  <si>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</si>
  <si>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</si>
  <si>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</si>
  <si>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</si>
  <si>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</si>
  <si>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</si>
  <si>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</si>
  <si>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</si>
  <si>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</si>
  <si>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</si>
  <si>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</si>
  <si>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</si>
  <si>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</si>
  <si>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</si>
  <si>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</si>
  <si>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</si>
  <si>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</si>
  <si>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</si>
  <si>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</si>
  <si>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</si>
  <si>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</si>
  <si>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</si>
  <si>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</si>
  <si>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</si>
  <si>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</si>
  <si>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</si>
  <si>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</si>
  <si>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</si>
  <si>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</si>
  <si>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</si>
  <si>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</si>
  <si>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</si>
  <si>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</si>
  <si>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</si>
  <si>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</si>
  <si>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</si>
  <si>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</si>
  <si>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</si>
  <si>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</si>
  <si>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</si>
  <si>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</si>
  <si>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</si>
  <si>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</si>
  <si>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</si>
  <si>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</si>
  <si>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</si>
  <si>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</si>
  <si>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</si>
  <si>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</si>
  <si>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</si>
  <si>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</si>
  <si>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</si>
  <si>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</si>
  <si>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</si>
  <si>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</si>
  <si>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</si>
  <si>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</si>
  <si>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</si>
  <si>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</si>
  <si>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</si>
  <si>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</si>
  <si>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</si>
  <si>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</si>
  <si>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</si>
  <si>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</si>
  <si>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</si>
  <si>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</si>
  <si>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</si>
  <si>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</si>
  <si>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</si>
  <si>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</si>
  <si>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</si>
  <si>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</si>
  <si>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</si>
  <si>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</si>
  <si>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</si>
  <si>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</si>
  <si>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</si>
  <si>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</si>
  <si>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</si>
  <si>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</si>
  <si>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</si>
  <si>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</si>
  <si>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</si>
  <si>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</si>
  <si>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</si>
  <si>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</si>
  <si>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</si>
  <si>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</si>
  <si>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</si>
  <si>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</si>
  <si>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</si>
  <si>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</si>
  <si>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</si>
  <si>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</si>
  <si>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</si>
  <si>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</si>
  <si>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</si>
  <si>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</si>
  <si>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</si>
  <si>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</si>
  <si>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</si>
  <si>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</si>
  <si>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</si>
  <si>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</si>
  <si>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</si>
  <si>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</si>
  <si>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</si>
  <si>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</si>
  <si>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</si>
  <si>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</si>
  <si>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</si>
  <si>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</si>
  <si>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</si>
  <si>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</si>
  <si>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</si>
  <si>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</si>
  <si>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</si>
  <si>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</si>
  <si>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</si>
  <si>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</si>
  <si>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</si>
  <si>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</si>
  <si>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</si>
  <si>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</si>
  <si>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</si>
  <si>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</si>
  <si>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</si>
  <si>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</si>
  <si>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</si>
  <si>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</si>
  <si>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</si>
  <si>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</si>
  <si>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</si>
  <si>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</si>
  <si>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</si>
  <si>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</si>
  <si>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</si>
  <si>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</si>
  <si>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</si>
  <si>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</si>
  <si>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</si>
  <si>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</si>
  <si>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</si>
  <si>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</si>
  <si>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</si>
  <si>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</si>
  <si>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</si>
  <si>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</si>
  <si>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</si>
  <si>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</si>
  <si>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</si>
  <si>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</si>
  <si>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</si>
  <si>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</si>
  <si>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</si>
  <si>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</si>
  <si>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</si>
  <si>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</si>
  <si>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</si>
  <si>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</si>
  <si>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</si>
  <si>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</si>
  <si>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</si>
  <si>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</si>
  <si>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</si>
  <si>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</si>
  <si>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</si>
  <si>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</si>
  <si>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</si>
  <si>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</si>
  <si>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</si>
  <si>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</si>
  <si>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</si>
  <si>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</si>
  <si>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</si>
  <si>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</si>
  <si>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</si>
  <si>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</si>
  <si>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</si>
  <si>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</si>
  <si>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</si>
  <si>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</si>
  <si>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</si>
  <si>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</si>
  <si>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</si>
  <si>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</si>
  <si>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</si>
  <si>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</si>
  <si>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</si>
  <si>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</si>
  <si>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</si>
  <si>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</si>
  <si>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</si>
  <si>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</si>
  <si>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</si>
  <si>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</si>
  <si>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</si>
  <si>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</si>
  <si>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</si>
  <si>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</si>
  <si>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</si>
  <si>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</si>
  <si>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</si>
  <si>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</si>
  <si>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</si>
  <si>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</si>
  <si>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</si>
  <si>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</si>
  <si>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</si>
  <si>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</si>
  <si>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</si>
  <si>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</si>
  <si>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</si>
  <si>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</si>
  <si>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</si>
  <si>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</si>
  <si>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</si>
  <si>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</si>
  <si>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</si>
  <si>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</si>
  <si>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</si>
  <si>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</si>
  <si>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</si>
  <si>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</si>
  <si>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</si>
  <si>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</si>
  <si>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</si>
  <si>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</si>
  <si>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</si>
  <si>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</si>
  <si>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</si>
  <si>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</si>
  <si>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</si>
  <si>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</si>
  <si>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</si>
  <si>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</si>
  <si>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</si>
  <si>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</si>
  <si>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</si>
  <si>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</si>
  <si>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</si>
  <si>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</si>
  <si>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</si>
  <si>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</si>
  <si>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</si>
  <si>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</si>
  <si>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</si>
  <si>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</si>
  <si>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</si>
  <si>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</si>
  <si>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</si>
  <si>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</si>
  <si>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</si>
  <si>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</si>
  <si>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</si>
  <si>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</si>
  <si>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</si>
  <si>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</si>
  <si>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</si>
  <si>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</si>
  <si>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</si>
  <si>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</si>
  <si>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</si>
  <si>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</si>
  <si>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</si>
  <si>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</si>
  <si>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</si>
  <si>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</si>
  <si>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</si>
  <si>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</si>
  <si>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</si>
  <si>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</si>
  <si>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</si>
  <si>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</si>
  <si>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</si>
  <si>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</si>
  <si>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</si>
  <si>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</si>
  <si>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</si>
  <si>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</si>
  <si>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</si>
  <si>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</si>
  <si>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</si>
  <si>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</si>
  <si>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</si>
  <si>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</si>
  <si>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</si>
  <si>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</si>
  <si>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</si>
  <si>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</si>
  <si>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</si>
  <si>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</si>
  <si>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</si>
  <si>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</si>
  <si>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</si>
  <si>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</si>
  <si>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</si>
  <si>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</si>
  <si>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</si>
  <si>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</si>
  <si>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</si>
  <si>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</si>
  <si>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</si>
  <si>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</si>
  <si>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</si>
  <si>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</si>
  <si>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</si>
  <si>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</si>
  <si>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</si>
  <si>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</si>
  <si>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</si>
  <si>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</si>
  <si>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</si>
  <si>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</si>
  <si>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</si>
  <si>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</si>
  <si>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</si>
  <si>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</si>
  <si>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</si>
  <si>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</si>
  <si>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</si>
  <si>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</si>
  <si>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</si>
  <si>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</si>
  <si>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</si>
  <si>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</si>
  <si>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</si>
  <si>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</si>
  <si>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</si>
  <si>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</si>
  <si>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</si>
  <si>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</si>
  <si>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</si>
  <si>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</si>
  <si>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</si>
  <si>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</si>
  <si>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</si>
  <si>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</si>
  <si>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</si>
  <si>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</si>
  <si>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</si>
  <si>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</si>
  <si>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</si>
  <si>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</si>
  <si>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</si>
  <si>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</si>
  <si>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</si>
  <si>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</si>
  <si>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</si>
  <si>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</si>
  <si>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</si>
  <si>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</si>
  <si>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</si>
  <si>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</si>
  <si>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</si>
  <si>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</si>
  <si>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</si>
  <si>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</si>
  <si>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</si>
  <si>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</si>
  <si>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</si>
  <si>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</si>
  <si>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</si>
  <si>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</si>
  <si>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</si>
  <si>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</si>
  <si>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</si>
  <si>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</si>
  <si>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</si>
  <si>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</si>
  <si>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</si>
  <si>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</si>
  <si>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</si>
  <si>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</si>
  <si>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</si>
  <si>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</si>
  <si>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</si>
  <si>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</si>
  <si>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</si>
  <si>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</si>
  <si>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</si>
  <si>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</si>
  <si>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</si>
  <si>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</si>
  <si>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</si>
  <si>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</si>
  <si>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</si>
  <si>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</si>
  <si>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</si>
  <si>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</si>
  <si>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</si>
  <si>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</si>
  <si>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</si>
  <si>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</si>
  <si>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</si>
  <si>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</si>
  <si>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</si>
  <si>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</si>
  <si>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</si>
  <si>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</si>
  <si>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</si>
  <si>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</si>
  <si>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</si>
  <si>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</si>
  <si>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</si>
  <si>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</si>
  <si>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</si>
  <si>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</si>
  <si>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</si>
  <si>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</si>
  <si>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</si>
  <si>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</si>
  <si>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</si>
  <si>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</si>
  <si>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</si>
  <si>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</si>
  <si>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</si>
  <si>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</si>
  <si>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</si>
  <si>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</si>
  <si>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</si>
  <si>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</si>
  <si>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</si>
  <si>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</si>
  <si>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</si>
  <si>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</si>
  <si>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</si>
  <si>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</si>
  <si>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</si>
  <si>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</si>
  <si>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</si>
  <si>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</si>
  <si>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</si>
  <si>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</si>
  <si>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</si>
  <si>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</si>
  <si>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</si>
  <si>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</si>
  <si>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</si>
  <si>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</si>
  <si>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</si>
  <si>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</si>
  <si>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</si>
  <si>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</si>
  <si>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</si>
  <si>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</si>
  <si>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</si>
  <si>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</si>
  <si>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</si>
  <si>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</si>
  <si>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</si>
  <si>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</si>
  <si>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</si>
  <si>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</si>
  <si>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</si>
  <si>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</si>
  <si>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</si>
  <si>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</si>
  <si>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</si>
  <si>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</si>
  <si>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</si>
  <si>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</si>
  <si>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</si>
  <si>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</si>
  <si>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</si>
  <si>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</si>
  <si>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</si>
  <si>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</si>
  <si>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</si>
  <si>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</si>
  <si>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</si>
  <si>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</si>
  <si>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</si>
  <si>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</si>
  <si>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</si>
  <si>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</si>
  <si>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</si>
  <si>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</si>
  <si>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</si>
  <si>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</si>
  <si>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</si>
  <si>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</si>
  <si>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</si>
  <si>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</si>
  <si>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</si>
  <si>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</si>
  <si>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</si>
  <si>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</si>
  <si>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</si>
  <si>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</si>
  <si>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</si>
  <si>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</si>
  <si>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</si>
  <si>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</si>
  <si>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</si>
  <si>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</si>
  <si>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</si>
  <si>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</si>
  <si>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</si>
  <si>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</si>
  <si>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</si>
  <si>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</si>
  <si>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</si>
  <si>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</si>
  <si>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</si>
  <si>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</si>
  <si>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</si>
  <si>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</si>
  <si>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</si>
  <si>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</si>
  <si>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</si>
  <si>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</si>
  <si>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</si>
  <si>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</si>
  <si>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</si>
  <si>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</si>
  <si>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</si>
  <si>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</si>
  <si>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</si>
  <si>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</si>
  <si>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</si>
  <si>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</si>
  <si>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</si>
  <si>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</si>
  <si>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</si>
  <si>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</si>
  <si>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</si>
  <si>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</si>
  <si>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</si>
  <si>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</si>
  <si>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</si>
  <si>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</si>
  <si>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</si>
  <si>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</si>
  <si>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</si>
  <si>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</si>
  <si>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</si>
  <si>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</si>
  <si>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</si>
  <si>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</si>
  <si>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</si>
  <si>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</si>
  <si>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</si>
  <si>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</si>
  <si>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</si>
  <si>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</si>
  <si>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</si>
  <si>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</si>
  <si>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</si>
  <si>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</si>
  <si>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</si>
  <si>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</si>
  <si>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</si>
  <si>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</si>
  <si>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</si>
  <si>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</si>
  <si>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</si>
  <si>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</si>
  <si>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</si>
  <si>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</si>
  <si>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</si>
  <si>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</si>
  <si>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</si>
  <si>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</si>
  <si>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</si>
  <si>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</si>
  <si>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</si>
  <si>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</si>
  <si>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</si>
  <si>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</si>
  <si>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</si>
  <si>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</si>
  <si>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</si>
  <si>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</si>
  <si>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</si>
  <si>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</si>
  <si>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</si>
  <si>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</si>
  <si>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</si>
  <si>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</si>
  <si>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</si>
  <si>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</si>
  <si>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</si>
  <si>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</si>
  <si>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</si>
  <si>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</si>
  <si>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</si>
  <si>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</si>
  <si>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</si>
  <si>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</si>
  <si>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</si>
  <si>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</si>
  <si>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</si>
  <si>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</si>
  <si>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</si>
  <si>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</si>
  <si>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</si>
  <si>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</si>
  <si>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</si>
  <si>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</si>
  <si>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</si>
  <si>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</si>
  <si>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</si>
  <si>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</si>
  <si>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</si>
  <si>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</si>
  <si>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</si>
  <si>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</si>
  <si>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</si>
  <si>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</si>
  <si>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</si>
  <si>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</si>
  <si>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</si>
  <si>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</si>
  <si>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</si>
  <si>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</si>
  <si>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</si>
  <si>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</si>
  <si>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</si>
  <si>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</si>
  <si>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</si>
  <si>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</si>
  <si>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</si>
  <si>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</si>
  <si>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</si>
  <si>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</si>
  <si>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</si>
  <si>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</si>
  <si>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</si>
  <si>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</si>
  <si>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</si>
  <si>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</si>
  <si>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</si>
  <si>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</si>
  <si>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</si>
  <si>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</si>
  <si>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</si>
  <si>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</si>
  <si>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</si>
  <si>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</si>
  <si>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</si>
  <si>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</si>
  <si>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</si>
  <si>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</si>
  <si>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</si>
  <si>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</si>
  <si>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</si>
  <si>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</si>
  <si>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</si>
  <si>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</si>
  <si>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</si>
  <si>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</si>
  <si>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</si>
  <si>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</si>
  <si>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</si>
  <si>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</si>
  <si>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</si>
  <si>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</si>
  <si>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</si>
  <si>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</si>
  <si>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</si>
  <si>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</si>
  <si>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</si>
  <si>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</si>
  <si>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</si>
  <si>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</si>
  <si>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</si>
  <si>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</si>
  <si>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</si>
  <si>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</si>
  <si>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</si>
  <si>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</si>
  <si>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</si>
  <si>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</si>
  <si>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</si>
  <si>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</si>
  <si>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</si>
  <si>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</si>
  <si>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</si>
  <si>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</si>
  <si>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</si>
  <si>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</si>
  <si>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</si>
  <si>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</si>
  <si>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</si>
  <si>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</si>
  <si>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</si>
  <si>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</si>
  <si>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</si>
  <si>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</si>
  <si>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</si>
  <si>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</si>
  <si>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</si>
  <si>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</si>
  <si>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</si>
  <si>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</si>
  <si>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</si>
  <si>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</si>
  <si>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</si>
  <si>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</si>
  <si>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</si>
  <si>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</si>
  <si>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</si>
  <si>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</si>
  <si>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</si>
  <si>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</si>
  <si>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</si>
  <si>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</si>
  <si>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</si>
  <si>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</si>
  <si>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</si>
  <si>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</si>
  <si>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</si>
  <si>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</si>
  <si>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</si>
  <si>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</si>
  <si>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</si>
  <si>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</si>
  <si>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</si>
  <si>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</si>
  <si>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</si>
  <si>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</si>
  <si>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</si>
  <si>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</si>
  <si>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</si>
  <si>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</si>
  <si>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</si>
  <si>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</si>
  <si>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</si>
  <si>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</si>
  <si>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</si>
  <si>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</si>
  <si>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</si>
  <si>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</si>
  <si>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</si>
  <si>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</si>
  <si>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</si>
  <si>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</si>
  <si>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</si>
  <si>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</si>
  <si>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</si>
  <si>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</si>
  <si>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</si>
  <si>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</si>
  <si>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</si>
  <si>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</si>
  <si>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</si>
  <si>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</si>
  <si>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</si>
  <si>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</si>
  <si>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</si>
  <si>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</si>
  <si>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</si>
  <si>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</si>
  <si>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</si>
  <si>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</si>
  <si>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</si>
  <si>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</si>
  <si>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</si>
  <si>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</si>
  <si>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</si>
  <si>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</si>
  <si>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</si>
  <si>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</si>
  <si>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</si>
  <si>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</si>
  <si>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</si>
  <si>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</si>
  <si>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</si>
  <si>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</si>
  <si>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</si>
  <si>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</si>
  <si>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</si>
  <si>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</si>
  <si>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</si>
  <si>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</si>
  <si>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</si>
  <si>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</si>
  <si>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</si>
  <si>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</si>
  <si>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</si>
  <si>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</si>
  <si>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</si>
  <si>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</si>
  <si>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</si>
  <si>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</si>
  <si>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</si>
  <si>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</si>
  <si>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</si>
  <si>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</si>
  <si>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</si>
  <si>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</si>
  <si>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</si>
  <si>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</si>
  <si>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</si>
  <si>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</si>
  <si>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</si>
  <si>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</si>
  <si>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</si>
  <si>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</si>
  <si>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</si>
  <si>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</si>
  <si>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</si>
  <si>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</si>
  <si>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</si>
  <si>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</si>
  <si>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</si>
  <si>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</si>
  <si>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</si>
  <si>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</si>
  <si>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</si>
  <si>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</si>
  <si>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</si>
  <si>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</si>
  <si>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</si>
  <si>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</si>
  <si>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</si>
  <si>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</si>
  <si>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</si>
  <si>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</si>
  <si>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</si>
  <si>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</si>
  <si>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</si>
  <si>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</si>
  <si>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</si>
  <si>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</si>
  <si>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</si>
  <si>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</si>
  <si>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</si>
  <si>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</si>
  <si>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</si>
  <si>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</si>
  <si>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</si>
  <si>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</si>
  <si>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</si>
  <si>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</si>
  <si>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</si>
  <si>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</si>
  <si>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</si>
  <si>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</si>
  <si>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</si>
  <si>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</si>
  <si>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</si>
  <si>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</si>
  <si>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</si>
  <si>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</si>
  <si>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</si>
  <si>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</si>
  <si>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</si>
  <si>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</si>
  <si>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</si>
  <si>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</si>
  <si>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</si>
  <si>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</si>
  <si>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</si>
  <si>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</si>
  <si>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</si>
  <si>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</si>
  <si>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</si>
  <si>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</si>
  <si>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</si>
  <si>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</si>
  <si>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</si>
  <si>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</si>
  <si>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</si>
  <si>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</si>
  <si>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</si>
  <si>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</si>
  <si>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</si>
  <si>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</si>
  <si>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</si>
  <si>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</si>
  <si>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</si>
  <si>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</si>
  <si>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</si>
  <si>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</si>
  <si>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</si>
  <si>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</si>
  <si>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</si>
  <si>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</si>
  <si>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</si>
  <si>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</si>
  <si>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</si>
  <si>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</si>
  <si>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</si>
  <si>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</si>
  <si>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</si>
  <si>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</si>
  <si>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</si>
  <si>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</si>
  <si>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</si>
  <si>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</si>
  <si>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</si>
  <si>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</si>
  <si>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</si>
  <si>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</si>
  <si>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</si>
  <si>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</si>
  <si>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</si>
  <si>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</si>
  <si>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</si>
  <si>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</si>
  <si>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</si>
  <si>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</si>
  <si>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</si>
  <si>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</si>
  <si>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</si>
  <si>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</si>
  <si>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</si>
  <si>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</si>
  <si>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</si>
  <si>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</si>
  <si>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</si>
  <si>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</si>
  <si>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</si>
  <si>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</si>
  <si>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</si>
  <si>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</si>
  <si>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</si>
  <si>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</si>
  <si>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</si>
  <si>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</si>
  <si>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</si>
  <si>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</si>
  <si>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</si>
  <si>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</si>
  <si>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</si>
  <si>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</si>
  <si>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</si>
  <si>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</si>
  <si>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</si>
  <si>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</si>
  <si>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</si>
  <si>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</si>
  <si>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</si>
  <si>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</si>
  <si>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</si>
  <si>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</si>
  <si>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</si>
  <si>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</si>
  <si>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</si>
  <si>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</si>
  <si>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</si>
  <si>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</si>
  <si>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</si>
  <si>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</si>
  <si>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</si>
  <si>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</si>
  <si>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</si>
  <si>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</si>
  <si>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</si>
  <si>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</si>
  <si>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</si>
  <si>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</si>
  <si>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</si>
  <si>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</si>
  <si>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</si>
  <si>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</si>
  <si>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</si>
  <si>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</si>
  <si>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</si>
  <si>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</si>
  <si>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</si>
  <si>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</si>
  <si>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</si>
  <si>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</si>
  <si>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</si>
  <si>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</si>
  <si>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</si>
  <si>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</si>
  <si>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</si>
  <si>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</si>
  <si>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</si>
  <si>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</si>
  <si>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</si>
  <si>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</si>
  <si>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</si>
  <si>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</si>
  <si>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</si>
  <si>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</si>
  <si>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</si>
  <si>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</si>
  <si>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</si>
  <si>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</si>
  <si>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</si>
  <si>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</si>
  <si>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</si>
  <si>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</si>
  <si>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</si>
  <si>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</si>
  <si>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</si>
  <si>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</si>
  <si>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</si>
  <si>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</si>
  <si>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</si>
  <si>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</si>
  <si>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</si>
  <si>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</si>
  <si>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</si>
  <si>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</si>
  <si>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</si>
  <si>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</si>
  <si>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</si>
  <si>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</si>
  <si>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</si>
  <si>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</si>
  <si>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</si>
  <si>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</si>
  <si>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</si>
  <si>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</si>
  <si>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</si>
  <si>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</si>
  <si>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</si>
  <si>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</si>
  <si>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</si>
  <si>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</si>
  <si>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</si>
  <si>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</si>
  <si>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</si>
  <si>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</si>
  <si>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</si>
  <si>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</si>
  <si>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</si>
  <si>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</si>
  <si>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</si>
  <si>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</si>
  <si>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</si>
  <si>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</si>
  <si>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</si>
  <si>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</si>
  <si>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</si>
  <si>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</si>
  <si>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</si>
  <si>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</si>
  <si>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</si>
  <si>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</si>
  <si>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</si>
  <si>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</si>
  <si>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</si>
  <si>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</si>
  <si>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</si>
  <si>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</si>
  <si>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</si>
  <si>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</si>
  <si>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</si>
  <si>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</si>
  <si>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</si>
  <si>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</si>
  <si>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</si>
  <si>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</si>
  <si>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</si>
  <si>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</si>
  <si>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</si>
  <si>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</si>
  <si>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</si>
  <si>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</si>
  <si>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</si>
  <si>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</si>
  <si>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</si>
  <si>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</si>
  <si>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</si>
  <si>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</si>
  <si>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</si>
  <si>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</si>
  <si>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</si>
  <si>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</si>
  <si>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</si>
  <si>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</si>
  <si>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</si>
  <si>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</si>
  <si>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</si>
  <si>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</si>
  <si>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</si>
  <si>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</si>
  <si>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</si>
  <si>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</si>
  <si>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</si>
  <si>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</si>
  <si>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</si>
  <si>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</si>
  <si>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</si>
  <si>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</si>
  <si>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</si>
  <si>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</si>
  <si>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</si>
  <si>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</si>
  <si>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</si>
  <si>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</si>
  <si>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</si>
  <si>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</si>
  <si>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</si>
  <si>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</si>
  <si>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</si>
  <si>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</si>
  <si>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</si>
  <si>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</si>
  <si>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</si>
  <si>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</si>
  <si>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</si>
  <si>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</si>
  <si>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</si>
  <si>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</si>
  <si>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</si>
  <si>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</si>
  <si>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</si>
  <si>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</si>
  <si>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</si>
  <si>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</si>
  <si>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</si>
  <si>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</si>
  <si>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</si>
  <si>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</si>
  <si>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</si>
  <si>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</si>
  <si>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</si>
  <si>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</si>
  <si>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</si>
  <si>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</si>
  <si>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</si>
  <si>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</si>
  <si>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</si>
  <si>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</si>
  <si>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</si>
  <si>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</si>
  <si>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</si>
  <si>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</si>
  <si>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</si>
  <si>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</si>
  <si>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</si>
  <si>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</si>
  <si>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</si>
  <si>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</si>
  <si>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</si>
  <si>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</si>
  <si>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</si>
  <si>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</si>
  <si>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</si>
  <si>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</si>
  <si>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</si>
  <si>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</si>
  <si>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</si>
  <si>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</si>
  <si>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</si>
  <si>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</si>
  <si>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</si>
  <si>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</si>
  <si>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</si>
  <si>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</si>
  <si>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</si>
  <si>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</si>
  <si>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</si>
  <si>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</si>
  <si>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</si>
  <si>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</si>
  <si>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</si>
  <si>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</si>
  <si>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</si>
  <si>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</si>
  <si>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</si>
  <si>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</si>
  <si>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</si>
  <si>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</si>
  <si>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</si>
  <si>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</si>
  <si>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</si>
  <si>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</si>
  <si>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</si>
  <si>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</si>
  <si>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</si>
  <si>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</si>
  <si>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</si>
  <si>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</si>
  <si>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</si>
  <si>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</si>
  <si>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</si>
  <si>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</si>
  <si>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</si>
  <si>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</si>
  <si>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</si>
  <si>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</si>
  <si>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</si>
  <si>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</si>
  <si>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</si>
  <si>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</si>
  <si>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</si>
  <si>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</si>
  <si>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</si>
  <si>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</si>
  <si>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</si>
  <si>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</si>
  <si>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</si>
  <si>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</si>
  <si>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</si>
  <si>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</si>
  <si>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</si>
  <si>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</si>
  <si>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</si>
  <si>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</si>
  <si>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</si>
  <si>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</si>
  <si>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</si>
  <si>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</si>
  <si>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</si>
  <si>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</si>
  <si>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</si>
  <si>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</si>
  <si>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</si>
  <si>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</si>
  <si>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</si>
  <si>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</si>
  <si>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</si>
  <si>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</si>
  <si>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</si>
  <si>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</si>
  <si>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</si>
  <si>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</si>
  <si>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</si>
  <si>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</si>
  <si>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</si>
  <si>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</si>
  <si>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</si>
  <si>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</si>
  <si>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</si>
  <si>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</si>
  <si>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</si>
  <si>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</si>
  <si>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</si>
  <si>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</si>
  <si>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</si>
  <si>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</si>
  <si>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</si>
  <si>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</si>
  <si>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</si>
  <si>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</si>
  <si>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</si>
  <si>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</si>
  <si>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</si>
  <si>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</si>
  <si>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</si>
  <si>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</si>
  <si>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</si>
  <si>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</si>
  <si>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</si>
  <si>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</si>
  <si>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</si>
  <si>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</si>
  <si>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</si>
  <si>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</si>
  <si>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</si>
  <si>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</si>
  <si>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</si>
  <si>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</si>
  <si>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</si>
  <si>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</si>
  <si>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</si>
  <si>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</si>
  <si>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</si>
  <si>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</si>
  <si>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</si>
  <si>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</si>
  <si>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</si>
  <si>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</si>
  <si>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</si>
  <si>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</si>
  <si>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</si>
  <si>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</si>
  <si>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</si>
  <si>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</si>
  <si>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</si>
  <si>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</si>
  <si>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</si>
  <si>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</si>
  <si>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</si>
  <si>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</si>
  <si>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</si>
  <si>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</si>
  <si>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</si>
  <si>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</si>
  <si>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</si>
  <si>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</si>
  <si>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</si>
  <si>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</si>
  <si>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</si>
  <si>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</si>
  <si>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</si>
  <si>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</si>
  <si>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</si>
  <si>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</si>
  <si>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</si>
  <si>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</si>
  <si>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</si>
  <si>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</si>
  <si>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</si>
  <si>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</si>
  <si>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</si>
  <si>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</si>
  <si>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</si>
  <si>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</si>
  <si>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</si>
  <si>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</si>
  <si>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</si>
  <si>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</si>
  <si>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</si>
  <si>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</si>
  <si>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</si>
  <si>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</si>
  <si>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</si>
  <si>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</si>
  <si>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Comentario: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</si>
  <si>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</si>
  <si>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</si>
  <si>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</si>
  <si>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</si>
  <si>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</si>
  <si>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</si>
  <si>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</si>
  <si>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</si>
  <si>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</si>
  <si>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</si>
  <si>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</si>
  <si>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</si>
  <si>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</si>
  <si>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_Saldo_Ciclico</t>
  </si>
  <si>
    <t>_Abono_Sobrante</t>
  </si>
  <si>
    <t>Configuración</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</si>
  <si>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</si>
  <si>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</si>
  <si>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</si>
  <si>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</si>
  <si>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</si>
  <si>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</si>
  <si>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</si>
  <si>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</si>
  <si>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</si>
  <si>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</si>
  <si>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</si>
  <si>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</si>
  <si>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</si>
  <si>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</si>
  <si>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</si>
  <si>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</si>
  <si>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</si>
  <si>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</si>
  <si>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</si>
  <si>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</si>
  <si>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</si>
  <si>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</si>
  <si>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</si>
  <si>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</si>
  <si>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</si>
  <si>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</si>
  <si>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</si>
  <si>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</si>
  <si>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</si>
  <si>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</si>
  <si>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</si>
  <si>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</si>
  <si>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</si>
  <si>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</si>
  <si>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</si>
  <si>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</si>
  <si>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</si>
  <si>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</si>
  <si>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</si>
  <si>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</si>
  <si>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</si>
  <si>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</si>
  <si>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</si>
  <si>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</si>
  <si>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</si>
  <si>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</si>
  <si>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</si>
  <si>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</si>
  <si>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</si>
  <si>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</si>
  <si>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</si>
  <si>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</si>
  <si>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</si>
  <si>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</si>
  <si>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</si>
  <si>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</si>
  <si>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</si>
  <si>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</si>
  <si>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</si>
  <si>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</si>
  <si>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</si>
  <si>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</si>
  <si>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</si>
  <si>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</si>
  <si>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</si>
  <si>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</si>
  <si>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</si>
  <si>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</si>
  <si>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</si>
  <si>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</si>
  <si>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</si>
  <si>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</si>
  <si>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</si>
  <si>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</si>
  <si>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</si>
  <si>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</si>
  <si>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</si>
  <si>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</si>
  <si>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</si>
  <si>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</si>
  <si>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</si>
  <si>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</si>
  <si>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</si>
  <si>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</si>
  <si>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</si>
  <si>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</si>
  <si>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</si>
  <si>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</si>
  <si>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</si>
  <si>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</si>
  <si>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</si>
  <si>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</si>
  <si>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</si>
  <si>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</si>
  <si>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</si>
  <si>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</si>
  <si>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</si>
  <si>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</si>
  <si>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</si>
  <si>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</si>
  <si>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</si>
  <si>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</si>
  <si>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</si>
  <si>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</si>
  <si>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</si>
  <si>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</si>
  <si>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</si>
  <si>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</si>
  <si>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</si>
  <si>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</si>
  <si>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</si>
  <si>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</si>
  <si>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</si>
  <si>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</si>
  <si>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</si>
  <si>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</si>
  <si>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</si>
  <si>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</si>
  <si>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</si>
  <si>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</si>
  <si>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</si>
  <si>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</si>
  <si>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</si>
  <si>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</si>
  <si>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</si>
  <si>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</si>
  <si>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</si>
  <si>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</si>
  <si>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</si>
  <si>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</si>
  <si>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</si>
  <si>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</si>
  <si>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</si>
  <si>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</si>
  <si>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</si>
  <si>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</si>
  <si>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</si>
  <si>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</si>
  <si>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</si>
  <si>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</si>
  <si>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</si>
  <si>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</si>
  <si>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</si>
  <si>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</si>
  <si>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</si>
  <si>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</si>
  <si>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</si>
  <si>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</si>
  <si>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</si>
  <si>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</si>
  <si>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</si>
  <si>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</si>
  <si>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</si>
  <si>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</si>
  <si>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</si>
  <si>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</si>
  <si>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</si>
  <si>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</si>
  <si>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</si>
  <si>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</si>
  <si>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</si>
  <si>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</si>
  <si>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</si>
  <si>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</si>
  <si>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</si>
  <si>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</si>
  <si>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</si>
  <si>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</si>
  <si>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</si>
  <si>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</si>
  <si>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</si>
  <si>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</si>
  <si>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</si>
  <si>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</si>
  <si>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</si>
  <si>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</si>
  <si>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</si>
  <si>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</si>
  <si>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</si>
  <si>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</si>
  <si>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</si>
  <si>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</si>
  <si>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</si>
  <si>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</si>
  <si>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</si>
  <si>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</si>
  <si>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</si>
  <si>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</si>
  <si>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</si>
  <si>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</si>
  <si>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</si>
  <si>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</si>
  <si>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</si>
  <si>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</si>
  <si>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</si>
  <si>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</si>
  <si>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</si>
  <si>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</si>
  <si>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</si>
  <si>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</si>
  <si>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</si>
  <si>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</si>
  <si>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</si>
  <si>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</si>
  <si>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</si>
  <si>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</si>
  <si>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</si>
  <si>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</si>
  <si>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</si>
  <si>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</si>
  <si>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</si>
  <si>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</si>
  <si>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</si>
  <si>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</si>
  <si>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</si>
  <si>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</si>
  <si>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</si>
  <si>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</si>
  <si>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</si>
  <si>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</si>
  <si>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</si>
  <si>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</si>
  <si>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</si>
  <si>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</si>
  <si>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</si>
  <si>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</si>
  <si>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</si>
  <si>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</si>
  <si>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</si>
  <si>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</si>
  <si>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</si>
  <si>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</si>
  <si>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</si>
  <si>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</si>
  <si>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</si>
  <si>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</si>
  <si>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</si>
  <si>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</si>
  <si>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</si>
  <si>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</si>
  <si>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</si>
  <si>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</si>
  <si>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</si>
  <si>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</si>
  <si>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</si>
  <si>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</si>
  <si>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</si>
  <si>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</si>
  <si>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</si>
  <si>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</si>
  <si>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</si>
  <si>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</si>
  <si>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</si>
  <si>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</si>
  <si>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</si>
  <si>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</si>
  <si>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</si>
  <si>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</si>
  <si>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</si>
  <si>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</si>
  <si>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</si>
  <si>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</si>
  <si>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</si>
  <si>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</si>
  <si>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</si>
  <si>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</si>
  <si>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</si>
  <si>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</si>
  <si>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</si>
  <si>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</si>
  <si>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</si>
  <si>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</si>
  <si>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</si>
  <si>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</si>
  <si>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</si>
  <si>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</si>
  <si>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</si>
  <si>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</si>
  <si>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</si>
  <si>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</si>
  <si>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</si>
  <si>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</si>
  <si>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</si>
  <si>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</si>
  <si>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</si>
  <si>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</si>
  <si>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</si>
  <si>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</si>
  <si>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</si>
  <si>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</si>
  <si>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</si>
  <si>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</si>
  <si>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</si>
  <si>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</si>
  <si>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</si>
  <si>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</si>
  <si>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</si>
  <si>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</si>
  <si>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</si>
  <si>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</si>
  <si>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</si>
  <si>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</si>
  <si>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</si>
  <si>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</si>
  <si>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</si>
  <si>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</si>
  <si>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</si>
  <si>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</si>
  <si>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</si>
  <si>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</si>
  <si>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</si>
  <si>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</si>
  <si>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</si>
  <si>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</si>
  <si>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</si>
  <si>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</si>
  <si>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</si>
  <si>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</si>
  <si>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</si>
  <si>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</si>
  <si>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</si>
  <si>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</si>
  <si>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</si>
  <si>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</si>
  <si>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</si>
  <si>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</si>
  <si>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</si>
  <si>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</si>
  <si>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</si>
  <si>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</si>
  <si>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</si>
  <si>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</si>
  <si>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</si>
  <si>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</si>
  <si>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</si>
  <si>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</si>
  <si>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</si>
  <si>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</si>
  <si>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</si>
  <si>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</si>
  <si>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</si>
  <si>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</si>
  <si>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</si>
  <si>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</si>
  <si>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</si>
  <si>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</si>
  <si>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</si>
  <si>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</si>
  <si>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</si>
  <si>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</si>
  <si>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</si>
  <si>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</si>
  <si>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</si>
  <si>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</si>
  <si>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</si>
  <si>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</si>
  <si>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</si>
  <si>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</si>
  <si>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</si>
  <si>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</si>
  <si>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</si>
  <si>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</si>
  <si>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</si>
  <si>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</si>
  <si>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</si>
  <si>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</si>
  <si>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</si>
  <si>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</si>
  <si>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</si>
  <si>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</si>
  <si>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</si>
  <si>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</si>
  <si>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</si>
  <si>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</si>
  <si>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</si>
  <si>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</si>
  <si>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</si>
  <si>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</si>
  <si>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</si>
  <si>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</si>
  <si>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</si>
  <si>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</si>
  <si>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</si>
  <si>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</si>
  <si>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</si>
  <si>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</si>
  <si>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</si>
  <si>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</si>
  <si>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</si>
  <si>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</si>
  <si>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</si>
  <si>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</si>
  <si>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</si>
  <si>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</si>
  <si>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</si>
  <si>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</si>
  <si>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</si>
  <si>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</si>
  <si>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</si>
  <si>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</si>
  <si>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</si>
  <si>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</si>
  <si>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</si>
  <si>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</si>
  <si>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</si>
  <si>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</si>
  <si>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</si>
  <si>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</si>
  <si>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</si>
  <si>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</si>
  <si>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</si>
  <si>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</si>
  <si>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</si>
  <si>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</si>
  <si>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</si>
  <si>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</si>
  <si>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</si>
  <si>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</si>
  <si>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</si>
  <si>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</si>
  <si>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</si>
  <si>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</si>
  <si>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</si>
  <si>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</si>
  <si>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</si>
  <si>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</si>
  <si>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</si>
  <si>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</si>
  <si>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</si>
  <si>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</si>
  <si>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</si>
  <si>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</si>
  <si>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</si>
  <si>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</si>
  <si>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</si>
  <si>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</si>
  <si>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</si>
  <si>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</si>
  <si>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</si>
  <si>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</si>
  <si>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</si>
  <si>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</si>
  <si>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</si>
  <si>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</si>
  <si>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</si>
  <si>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</si>
  <si>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</si>
  <si>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</si>
  <si>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</si>
  <si>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</si>
  <si>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</si>
  <si>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</si>
  <si>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</si>
  <si>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</si>
  <si>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</si>
  <si>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</si>
  <si>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</si>
  <si>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</si>
  <si>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</si>
  <si>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</si>
  <si>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</si>
  <si>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</si>
  <si>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</si>
  <si>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</si>
  <si>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</si>
  <si>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</si>
  <si>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</si>
  <si>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</si>
  <si>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</si>
  <si>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</si>
  <si>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</si>
  <si>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</si>
  <si>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</si>
  <si>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</si>
  <si>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</si>
  <si>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</si>
  <si>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</si>
  <si>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</si>
  <si>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</si>
  <si>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</si>
  <si>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</si>
  <si>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</si>
  <si>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</si>
  <si>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</si>
  <si>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</si>
  <si>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</si>
  <si>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</si>
  <si>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</si>
  <si>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</si>
  <si>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</si>
  <si>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</si>
  <si>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</si>
  <si>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</si>
  <si>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</si>
  <si>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</si>
  <si>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</si>
  <si>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</si>
  <si>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</si>
  <si>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</si>
  <si>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</si>
  <si>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</si>
  <si>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</si>
  <si>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</si>
  <si>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</si>
  <si>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</si>
  <si>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</si>
  <si>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</si>
  <si>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</si>
  <si>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</si>
  <si>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</si>
  <si>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</si>
  <si>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</si>
  <si>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</si>
  <si>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</si>
  <si>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</si>
  <si>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</si>
  <si>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</si>
  <si>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</si>
  <si>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</si>
  <si>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</si>
  <si>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</si>
  <si>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</si>
  <si>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</si>
  <si>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</si>
  <si>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</si>
  <si>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</si>
  <si>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</si>
  <si>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</si>
  <si>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</si>
  <si>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</si>
  <si>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</si>
  <si>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</si>
  <si>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</si>
  <si>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</si>
  <si>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</si>
  <si>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</si>
  <si>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</si>
  <si>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</si>
  <si>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</si>
  <si>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</si>
  <si>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</si>
  <si>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</si>
  <si>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</si>
  <si>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</si>
  <si>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</si>
  <si>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</si>
  <si>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</si>
  <si>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</si>
  <si>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</si>
  <si>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</si>
  <si>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</si>
  <si>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</si>
  <si>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</si>
  <si>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</si>
  <si>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</si>
  <si>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</si>
  <si>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</si>
  <si>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</si>
  <si>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</si>
  <si>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</si>
  <si>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</si>
  <si>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</si>
  <si>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</si>
  <si>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</si>
  <si>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</si>
  <si>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</si>
  <si>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</si>
  <si>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</si>
  <si>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</si>
  <si>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</si>
  <si>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</si>
  <si>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</si>
  <si>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</si>
  <si>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</si>
  <si>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</si>
  <si>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</si>
  <si>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</si>
  <si>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</si>
  <si>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</si>
  <si>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</si>
  <si>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</si>
  <si>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</si>
  <si>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</si>
  <si>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</si>
  <si>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</si>
  <si>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</si>
  <si>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</si>
  <si>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</si>
  <si>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</si>
  <si>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</si>
  <si>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</si>
  <si>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</si>
  <si>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</si>
  <si>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</si>
  <si>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</si>
  <si>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</si>
  <si>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</si>
  <si>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</si>
  <si>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</si>
  <si>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</si>
  <si>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</si>
  <si>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</si>
  <si>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</si>
  <si>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</si>
  <si>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</si>
  <si>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</si>
  <si>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</si>
  <si>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</si>
  <si>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</si>
  <si>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</si>
  <si>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</si>
  <si>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</si>
  <si>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</si>
  <si>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</si>
  <si>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</si>
  <si>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</si>
  <si>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</si>
  <si>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</si>
  <si>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</si>
  <si>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</si>
  <si>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</si>
  <si>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</si>
  <si>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</si>
  <si>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</si>
  <si>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</si>
  <si>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</si>
  <si>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</si>
  <si>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</si>
  <si>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</si>
  <si>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</si>
  <si>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</si>
  <si>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</si>
  <si>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</si>
  <si>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</si>
  <si>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</si>
  <si>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</si>
  <si>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</si>
  <si>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</si>
  <si>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</si>
  <si>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</si>
  <si>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</si>
  <si>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</si>
  <si>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</si>
  <si>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</si>
  <si>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</si>
  <si>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</si>
  <si>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</si>
  <si>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</si>
  <si>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</si>
  <si>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</si>
  <si>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</si>
  <si>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</si>
  <si>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</si>
  <si>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</si>
  <si>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</si>
  <si>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</si>
  <si>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</si>
  <si>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</si>
  <si>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</si>
  <si>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</si>
  <si>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</si>
  <si>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</si>
  <si>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</si>
  <si>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</si>
  <si>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</si>
  <si>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</si>
  <si>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</si>
  <si>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</si>
  <si>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</si>
  <si>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</si>
  <si>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</si>
  <si>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</si>
  <si>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</si>
  <si>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</si>
  <si>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</si>
  <si>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</si>
  <si>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</si>
  <si>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</si>
  <si>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</si>
  <si>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</si>
  <si>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</si>
  <si>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</si>
  <si>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</si>
  <si>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</si>
  <si>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</si>
  <si>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</si>
  <si>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</si>
  <si>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</si>
  <si>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</si>
  <si>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</si>
  <si>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</si>
  <si>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</si>
  <si>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</si>
  <si>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</si>
  <si>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</si>
  <si>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</si>
  <si>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</si>
  <si>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</si>
  <si>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</si>
  <si>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</si>
  <si>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</si>
  <si>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</si>
  <si>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</si>
  <si>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</si>
  <si>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</si>
  <si>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</si>
  <si>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</si>
  <si>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</si>
  <si>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</si>
  <si>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</si>
  <si>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</si>
  <si>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</si>
  <si>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</si>
  <si>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</si>
  <si>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</si>
  <si>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</si>
  <si>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</si>
  <si>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</si>
  <si>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</si>
  <si>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</si>
  <si>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</si>
  <si>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</si>
  <si>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</si>
  <si>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</si>
  <si>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</si>
  <si>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</si>
  <si>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</si>
  <si>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</si>
  <si>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</si>
  <si>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</si>
  <si>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</si>
  <si>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</si>
  <si>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</si>
  <si>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</si>
  <si>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</si>
  <si>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</si>
  <si>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</si>
  <si>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</si>
  <si>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</si>
  <si>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</si>
  <si>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</si>
  <si>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</si>
  <si>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</si>
  <si>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</si>
  <si>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</si>
  <si>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</si>
  <si>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</si>
  <si>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</si>
  <si>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</si>
  <si>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</si>
  <si>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</si>
  <si>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</si>
  <si>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</si>
  <si>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</si>
  <si>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</si>
  <si>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</si>
  <si>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</si>
  <si>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</si>
  <si>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</si>
  <si>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</si>
  <si>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</si>
  <si>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</si>
  <si>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</si>
  <si>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</si>
  <si>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</si>
  <si>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Tabla que se usa para correr el Seguro de Vida, si es ANUAL y FINANCIADO.</t>
  </si>
  <si>
    <t>Renovación Anual</t>
  </si>
  <si>
    <t>Amortización</t>
  </si>
  <si>
    <t>Ciclica</t>
  </si>
  <si>
    <t>Ciclo</t>
  </si>
  <si>
    <t>Saldo Renovar</t>
  </si>
  <si>
    <t>Monto.Renovacion</t>
  </si>
  <si>
    <t>Periodos.Por.Ciclo</t>
  </si>
  <si>
    <t>Periodos.Por.Año</t>
  </si>
  <si>
    <t>Numero.De.Pagos</t>
  </si>
  <si>
    <t>Versión inicial de la tabla RenovacionAnual</t>
  </si>
  <si>
    <t>Tabla que desglosa las renovaciones de saldo del Seguro de Vida cuando es ANUAL.</t>
  </si>
  <si>
    <t>T_RenovVidaAnual</t>
  </si>
  <si>
    <t>(RenovacionAnual)</t>
  </si>
  <si>
    <t>Renovacion Vida</t>
  </si>
  <si>
    <t>Factores para la Renovación Anual</t>
  </si>
  <si>
    <t>Contado:</t>
  </si>
  <si>
    <t>Financiado:</t>
  </si>
  <si>
    <t>Selección:</t>
  </si>
  <si>
    <t>T_RenovVidaAnual!_Saldo_Renov_Anual * FactorRenovacionAnual</t>
  </si>
  <si>
    <t>Pago Crédito Seguro de Vida</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</si>
  <si>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</si>
  <si>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</si>
  <si>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</si>
  <si>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</si>
  <si>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</si>
  <si>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</si>
  <si>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</si>
  <si>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</si>
  <si>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</si>
  <si>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</si>
  <si>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</si>
  <si>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</si>
  <si>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</si>
  <si>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</si>
  <si>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</si>
  <si>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</si>
  <si>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</si>
  <si>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</si>
  <si>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</si>
  <si>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</si>
  <si>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</si>
  <si>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</si>
  <si>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</si>
  <si>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</si>
  <si>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</si>
  <si>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</si>
  <si>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</si>
  <si>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</si>
  <si>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</si>
  <si>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</si>
  <si>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</si>
  <si>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</si>
  <si>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</si>
  <si>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</si>
  <si>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</si>
  <si>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</si>
  <si>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</si>
  <si>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</si>
  <si>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</si>
  <si>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</si>
  <si>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</si>
  <si>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</si>
  <si>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</si>
  <si>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</si>
  <si>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</si>
  <si>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</si>
  <si>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</si>
  <si>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</si>
  <si>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</si>
  <si>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</si>
  <si>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</si>
  <si>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</si>
  <si>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</si>
  <si>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</si>
  <si>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</si>
  <si>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</si>
  <si>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</si>
  <si>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</si>
  <si>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</si>
  <si>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</si>
  <si>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</si>
  <si>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</si>
  <si>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</si>
  <si>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</si>
  <si>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</si>
  <si>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</si>
  <si>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</si>
  <si>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</si>
  <si>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</si>
  <si>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</si>
  <si>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</si>
  <si>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</si>
  <si>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</si>
  <si>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</si>
  <si>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</si>
  <si>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</si>
  <si>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</si>
  <si>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</si>
  <si>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</si>
  <si>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</si>
  <si>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</si>
  <si>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</si>
  <si>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</si>
  <si>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</si>
  <si>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</si>
  <si>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</si>
  <si>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</si>
  <si>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</si>
  <si>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</si>
  <si>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</si>
  <si>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</si>
  <si>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</si>
  <si>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</si>
  <si>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</si>
  <si>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</si>
  <si>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</si>
  <si>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</si>
  <si>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</si>
  <si>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</si>
  <si>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</si>
  <si>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</si>
  <si>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</si>
  <si>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</si>
  <si>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</si>
  <si>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</si>
  <si>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</si>
  <si>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</si>
  <si>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</si>
  <si>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</si>
  <si>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</si>
  <si>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</si>
  <si>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</si>
  <si>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</si>
  <si>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</si>
  <si>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</si>
  <si>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</si>
  <si>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</si>
  <si>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</si>
  <si>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</si>
  <si>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</si>
  <si>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</si>
  <si>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</si>
  <si>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</si>
  <si>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</si>
  <si>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</si>
  <si>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</si>
  <si>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</si>
  <si>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</si>
  <si>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</si>
  <si>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</si>
  <si>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</si>
  <si>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</si>
  <si>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</si>
  <si>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</si>
  <si>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</si>
  <si>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</si>
  <si>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</si>
  <si>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</si>
  <si>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</si>
  <si>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</si>
  <si>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</si>
  <si>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</si>
  <si>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</si>
  <si>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</si>
  <si>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</si>
  <si>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</si>
  <si>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</si>
  <si>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</si>
  <si>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</si>
  <si>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</si>
  <si>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</si>
  <si>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</si>
  <si>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</si>
  <si>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</si>
  <si>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</si>
  <si>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</si>
  <si>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</si>
  <si>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</si>
  <si>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</si>
  <si>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</si>
  <si>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</si>
  <si>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</si>
  <si>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</si>
  <si>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</si>
  <si>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</si>
  <si>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</si>
  <si>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</si>
  <si>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</si>
  <si>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</si>
  <si>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</si>
  <si>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</si>
  <si>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</si>
  <si>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</si>
  <si>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</si>
  <si>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</si>
  <si>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</si>
  <si>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</si>
  <si>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</si>
  <si>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</si>
  <si>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</si>
  <si>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</si>
  <si>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</si>
  <si>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</si>
  <si>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</si>
  <si>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</si>
  <si>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</si>
  <si>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</si>
  <si>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</si>
  <si>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</si>
  <si>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</si>
  <si>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</si>
  <si>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</si>
  <si>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</si>
  <si>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</si>
  <si>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</si>
  <si>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</si>
  <si>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</si>
  <si>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</si>
  <si>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</si>
  <si>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</si>
  <si>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</si>
  <si>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</si>
  <si>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</si>
  <si>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</si>
  <si>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</si>
  <si>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</si>
  <si>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</si>
  <si>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</si>
  <si>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</si>
  <si>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</si>
  <si>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</si>
  <si>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</si>
  <si>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</si>
  <si>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</si>
  <si>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</si>
  <si>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</si>
  <si>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</si>
  <si>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</si>
  <si>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</si>
  <si>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</si>
  <si>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</si>
  <si>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</si>
  <si>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</si>
  <si>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</si>
  <si>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</si>
  <si>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</si>
  <si>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</si>
  <si>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</si>
  <si>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</si>
  <si>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</si>
  <si>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</si>
  <si>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</si>
  <si>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</si>
  <si>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</si>
  <si>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</si>
  <si>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</si>
  <si>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</si>
  <si>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</si>
  <si>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</si>
  <si>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</si>
  <si>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</si>
  <si>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</si>
  <si>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</si>
  <si>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</si>
  <si>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</si>
  <si>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</si>
  <si>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</si>
  <si>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</si>
  <si>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</si>
  <si>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</si>
  <si>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</si>
  <si>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</si>
  <si>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</si>
  <si>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</si>
  <si>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</si>
  <si>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</si>
  <si>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</si>
  <si>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</si>
  <si>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</si>
  <si>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</si>
  <si>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</si>
  <si>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</si>
  <si>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</si>
  <si>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</si>
  <si>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</si>
  <si>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</si>
  <si>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</si>
  <si>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</si>
  <si>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</si>
  <si>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</si>
  <si>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</si>
  <si>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</si>
  <si>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</si>
  <si>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</si>
  <si>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</si>
  <si>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</si>
  <si>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</si>
  <si>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</si>
  <si>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</si>
  <si>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</si>
  <si>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</si>
  <si>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</si>
  <si>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</si>
  <si>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</si>
  <si>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</si>
  <si>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</si>
  <si>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</si>
  <si>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</si>
  <si>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</si>
  <si>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</si>
  <si>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</si>
  <si>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</si>
  <si>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</si>
  <si>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</si>
  <si>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</si>
  <si>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</si>
  <si>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</si>
  <si>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</si>
  <si>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</si>
  <si>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</si>
  <si>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</si>
  <si>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</si>
  <si>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</si>
  <si>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</si>
  <si>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</si>
  <si>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</si>
  <si>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</si>
  <si>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</si>
  <si>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</si>
  <si>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</si>
  <si>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</si>
  <si>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</si>
  <si>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</si>
  <si>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</si>
  <si>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</si>
  <si>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</si>
  <si>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</si>
  <si>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</si>
  <si>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</si>
  <si>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</si>
  <si>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</si>
  <si>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</si>
  <si>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</si>
  <si>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</si>
  <si>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</si>
  <si>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</si>
  <si>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</si>
  <si>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</si>
  <si>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</si>
  <si>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</si>
  <si>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</si>
  <si>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</si>
  <si>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</si>
  <si>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</si>
  <si>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</si>
  <si>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</si>
  <si>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</si>
  <si>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</si>
  <si>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</si>
  <si>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</si>
  <si>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</si>
  <si>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</si>
  <si>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</si>
  <si>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</si>
  <si>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</si>
  <si>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</si>
  <si>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</si>
  <si>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</si>
  <si>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</si>
  <si>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</si>
  <si>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</si>
  <si>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</si>
  <si>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</si>
  <si>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</si>
  <si>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</si>
  <si>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</si>
  <si>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</si>
  <si>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</si>
  <si>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</si>
  <si>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</si>
  <si>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</si>
  <si>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</si>
  <si>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</si>
  <si>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</si>
  <si>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</si>
  <si>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</si>
  <si>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</si>
  <si>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</si>
  <si>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</si>
  <si>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</si>
  <si>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</si>
  <si>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</si>
  <si>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</si>
  <si>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</si>
  <si>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</si>
  <si>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</si>
  <si>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</si>
  <si>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</si>
  <si>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</si>
  <si>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</si>
  <si>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</si>
  <si>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</si>
  <si>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</si>
  <si>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</si>
  <si>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</si>
  <si>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</si>
  <si>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</si>
  <si>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</si>
  <si>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</si>
  <si>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</si>
  <si>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</si>
  <si>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</si>
  <si>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</si>
  <si>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</si>
  <si>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</si>
  <si>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</si>
  <si>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</si>
  <si>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</si>
  <si>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</si>
  <si>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</si>
  <si>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</si>
  <si>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</si>
  <si>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</si>
  <si>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</si>
  <si>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</si>
  <si>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</si>
  <si>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</si>
  <si>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</si>
  <si>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</si>
  <si>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</si>
  <si>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</si>
  <si>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</si>
  <si>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</si>
  <si>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</si>
  <si>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</si>
  <si>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</si>
  <si>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</si>
  <si>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</si>
  <si>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</si>
  <si>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</si>
  <si>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</si>
  <si>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</si>
  <si>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</si>
  <si>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</si>
  <si>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</si>
  <si>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</si>
  <si>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</si>
  <si>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</si>
  <si>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</si>
  <si>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</si>
  <si>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</si>
  <si>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</si>
  <si>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</si>
  <si>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</si>
  <si>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</si>
  <si>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</si>
  <si>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</si>
  <si>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</si>
  <si>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</si>
  <si>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</si>
  <si>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</si>
  <si>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</si>
  <si>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</si>
  <si>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</si>
  <si>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</si>
  <si>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</si>
  <si>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</si>
  <si>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</si>
  <si>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</si>
  <si>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</si>
  <si>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</si>
  <si>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</si>
  <si>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</si>
  <si>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</si>
  <si>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</si>
  <si>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</si>
  <si>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</si>
  <si>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</si>
  <si>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</si>
  <si>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</si>
  <si>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</si>
  <si>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</si>
  <si>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</si>
  <si>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</si>
  <si>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</si>
  <si>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</si>
  <si>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</si>
  <si>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</si>
  <si>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</si>
  <si>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</si>
  <si>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</si>
  <si>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</si>
  <si>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</si>
  <si>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</si>
  <si>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</si>
  <si>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</si>
  <si>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</si>
  <si>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</si>
  <si>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</si>
  <si>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</si>
  <si>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</si>
  <si>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</si>
  <si>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</si>
  <si>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</si>
  <si>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</si>
  <si>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</si>
  <si>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</si>
  <si>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</si>
  <si>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</si>
  <si>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</si>
  <si>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</si>
  <si>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</si>
  <si>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</si>
  <si>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</si>
  <si>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</si>
  <si>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</si>
  <si>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</si>
  <si>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</si>
  <si>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</si>
  <si>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</si>
  <si>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</si>
  <si>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</si>
  <si>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</si>
  <si>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</si>
  <si>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</si>
  <si>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</si>
  <si>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</si>
  <si>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</si>
  <si>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</si>
  <si>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</si>
  <si>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</si>
  <si>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</si>
  <si>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</si>
  <si>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</si>
  <si>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</si>
  <si>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</si>
  <si>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</si>
  <si>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</si>
  <si>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</si>
  <si>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</si>
  <si>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</si>
  <si>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</si>
  <si>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</si>
  <si>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</si>
  <si>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</si>
  <si>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</si>
  <si>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</si>
  <si>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</si>
  <si>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</si>
  <si>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</si>
  <si>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</si>
  <si>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</si>
  <si>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</si>
  <si>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</si>
  <si>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</si>
  <si>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</si>
  <si>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</si>
  <si>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</si>
  <si>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</si>
  <si>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</si>
  <si>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</si>
  <si>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</si>
  <si>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</si>
  <si>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</si>
  <si>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</si>
  <si>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</si>
  <si>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</si>
  <si>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</si>
  <si>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</si>
  <si>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</si>
  <si>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</si>
  <si>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</si>
  <si>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</si>
  <si>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</si>
  <si>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</si>
  <si>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</si>
  <si>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</si>
  <si>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</si>
  <si>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</si>
  <si>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</si>
  <si>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</si>
  <si>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</si>
  <si>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</si>
  <si>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</si>
  <si>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</si>
  <si>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</si>
  <si>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</si>
  <si>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</si>
  <si>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</si>
  <si>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</si>
  <si>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</si>
  <si>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</si>
  <si>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</si>
  <si>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</si>
  <si>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</si>
  <si>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</si>
  <si>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</si>
  <si>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</si>
  <si>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</si>
  <si>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</si>
  <si>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</si>
  <si>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</si>
  <si>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</si>
  <si>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</si>
  <si>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</si>
  <si>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</si>
  <si>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</si>
  <si>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</si>
  <si>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</si>
  <si>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</si>
  <si>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</si>
  <si>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</si>
  <si>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</si>
  <si>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</si>
  <si>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</si>
  <si>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</si>
  <si>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</si>
  <si>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</si>
  <si>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</si>
  <si>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</si>
  <si>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</si>
  <si>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</si>
  <si>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</si>
  <si>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</si>
  <si>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</si>
  <si>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</si>
  <si>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</si>
  <si>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</si>
  <si>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</si>
  <si>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</si>
  <si>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</si>
  <si>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</si>
  <si>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</si>
  <si>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</si>
  <si>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</si>
  <si>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</si>
  <si>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</si>
  <si>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</si>
  <si>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</si>
  <si>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</si>
  <si>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</si>
  <si>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</si>
  <si>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</si>
  <si>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</si>
  <si>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</si>
  <si>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</si>
  <si>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</si>
  <si>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</si>
  <si>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</si>
  <si>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</si>
  <si>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</si>
  <si>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</si>
  <si>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</si>
  <si>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</si>
  <si>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</si>
  <si>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</si>
  <si>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</si>
  <si>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</si>
  <si>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</si>
  <si>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</si>
  <si>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</si>
  <si>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</si>
  <si>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</si>
  <si>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</si>
  <si>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</si>
  <si>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</si>
  <si>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</si>
  <si>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</si>
  <si>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</si>
  <si>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</si>
  <si>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</si>
  <si>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</si>
  <si>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</si>
  <si>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</si>
  <si>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</si>
  <si>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</si>
  <si>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</si>
  <si>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</si>
  <si>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</si>
  <si>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</si>
  <si>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</si>
  <si>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</si>
  <si>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</si>
  <si>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</si>
  <si>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</si>
  <si>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</si>
  <si>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</si>
  <si>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</si>
  <si>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</si>
  <si>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</si>
  <si>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</si>
  <si>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</si>
  <si>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</si>
  <si>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</si>
  <si>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</si>
  <si>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</si>
  <si>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</si>
  <si>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</si>
  <si>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</si>
  <si>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</si>
  <si>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</si>
  <si>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</si>
  <si>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</si>
  <si>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</si>
  <si>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</si>
  <si>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</si>
  <si>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</si>
  <si>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</si>
  <si>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</si>
  <si>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</si>
  <si>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</si>
  <si>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</si>
  <si>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</si>
  <si>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</si>
  <si>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</si>
  <si>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</si>
  <si>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</si>
  <si>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</si>
  <si>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</si>
  <si>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</si>
  <si>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</si>
  <si>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</si>
  <si>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</si>
  <si>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</si>
  <si>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</si>
  <si>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</si>
  <si>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</si>
  <si>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</si>
  <si>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</si>
  <si>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</si>
  <si>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</si>
  <si>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</si>
  <si>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</si>
  <si>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</si>
  <si>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</si>
  <si>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</si>
  <si>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</si>
  <si>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</si>
  <si>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</si>
  <si>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</si>
  <si>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</si>
  <si>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</si>
  <si>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</si>
  <si>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</si>
  <si>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</si>
  <si>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</si>
  <si>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</si>
  <si>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</si>
  <si>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</si>
  <si>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</si>
  <si>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</si>
  <si>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</si>
  <si>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</si>
  <si>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</si>
  <si>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</si>
  <si>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</si>
  <si>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</si>
  <si>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</si>
  <si>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</si>
  <si>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</si>
  <si>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</si>
  <si>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</si>
  <si>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</si>
  <si>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</si>
  <si>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</si>
  <si>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</si>
  <si>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</si>
  <si>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</si>
  <si>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</si>
  <si>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Pago Mensual Estimado con I.V.A. Incluido</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</si>
  <si>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</si>
  <si>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</si>
  <si>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</si>
  <si>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</si>
  <si>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</si>
  <si>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</si>
  <si>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</si>
  <si>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</si>
  <si>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</si>
  <si>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</si>
  <si>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</si>
  <si>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</si>
  <si>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</si>
  <si>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</si>
  <si>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</si>
  <si>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</si>
  <si>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</si>
  <si>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</si>
  <si>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</si>
  <si>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Plazo en meses:</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</si>
  <si>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</si>
  <si>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</si>
  <si>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</si>
  <si>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</si>
  <si>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</si>
  <si>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</si>
  <si>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</si>
  <si>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</si>
  <si>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</si>
  <si>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</si>
  <si>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</si>
  <si>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</si>
  <si>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</si>
  <si>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</si>
  <si>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</si>
  <si>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</si>
  <si>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</si>
  <si>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</si>
  <si>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</si>
  <si>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</si>
  <si>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</si>
  <si>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</si>
  <si>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</si>
  <si>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</si>
  <si>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</si>
  <si>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</si>
  <si>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</si>
  <si>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</si>
  <si>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</si>
  <si>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</si>
  <si>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</si>
  <si>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</si>
  <si>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</si>
  <si>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</si>
  <si>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</si>
  <si>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</si>
  <si>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</si>
  <si>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</si>
  <si>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</si>
  <si>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</si>
  <si>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</si>
  <si>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</si>
  <si>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</si>
  <si>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</si>
  <si>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</si>
  <si>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</si>
  <si>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</si>
  <si>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</si>
  <si>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</si>
  <si>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</si>
  <si>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</si>
  <si>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</si>
  <si>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</si>
  <si>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</si>
  <si>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</si>
  <si>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</si>
  <si>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</si>
  <si>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</si>
  <si>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</si>
  <si>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</si>
  <si>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</si>
  <si>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</si>
  <si>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</si>
  <si>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</si>
  <si>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</si>
  <si>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</si>
  <si>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</si>
  <si>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</si>
  <si>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</si>
  <si>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</si>
  <si>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</si>
  <si>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</si>
  <si>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</si>
  <si>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</si>
  <si>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</si>
  <si>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</si>
  <si>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</si>
  <si>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</si>
  <si>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</si>
  <si>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</si>
  <si>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</si>
  <si>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</si>
  <si>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</si>
  <si>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</si>
  <si>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</si>
  <si>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</si>
  <si>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</si>
  <si>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</si>
  <si>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</si>
  <si>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</si>
  <si>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</si>
  <si>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</si>
  <si>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</si>
  <si>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</si>
  <si>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</si>
  <si>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</si>
  <si>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</si>
  <si>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</si>
  <si>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</si>
  <si>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</si>
  <si>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</si>
  <si>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</si>
  <si>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</si>
  <si>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</si>
  <si>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</si>
  <si>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</si>
  <si>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</si>
  <si>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</si>
  <si>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</si>
  <si>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</si>
  <si>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</si>
  <si>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</si>
  <si>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</si>
  <si>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</si>
  <si>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</si>
  <si>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</si>
  <si>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</si>
  <si>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</si>
  <si>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</si>
  <si>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</si>
  <si>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</si>
  <si>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</si>
  <si>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</si>
  <si>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</si>
  <si>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</si>
  <si>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</si>
  <si>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</si>
  <si>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</si>
  <si>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</si>
  <si>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</si>
  <si>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</si>
  <si>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</si>
  <si>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</si>
  <si>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</si>
  <si>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</si>
  <si>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</si>
  <si>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</si>
  <si>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</si>
  <si>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</si>
  <si>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</si>
  <si>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</si>
  <si>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</si>
  <si>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</si>
  <si>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</si>
  <si>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</si>
  <si>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</si>
  <si>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</si>
  <si>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</si>
  <si>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</si>
  <si>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</si>
  <si>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</si>
  <si>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</si>
  <si>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</si>
  <si>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</si>
  <si>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</si>
  <si>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</si>
  <si>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</si>
  <si>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</si>
  <si>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</si>
  <si>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</si>
  <si>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</si>
  <si>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</si>
  <si>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</si>
  <si>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</si>
  <si>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</si>
  <si>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</si>
  <si>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</si>
  <si>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</si>
  <si>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</si>
  <si>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</si>
  <si>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</si>
  <si>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</si>
  <si>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</si>
  <si>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</si>
  <si>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</si>
  <si>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</si>
  <si>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</si>
  <si>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</si>
  <si>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</si>
  <si>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</si>
  <si>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</si>
  <si>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</si>
  <si>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</si>
  <si>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</si>
  <si>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</si>
  <si>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</si>
  <si>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</si>
  <si>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</si>
  <si>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</si>
  <si>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</si>
  <si>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</si>
  <si>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</si>
  <si>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</si>
  <si>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</si>
  <si>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</si>
  <si>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</si>
  <si>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</si>
  <si>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</si>
  <si>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</si>
  <si>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</si>
  <si>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</si>
  <si>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</si>
  <si>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</si>
  <si>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</si>
  <si>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</si>
  <si>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</si>
  <si>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</si>
  <si>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</si>
  <si>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</si>
  <si>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</si>
  <si>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</si>
  <si>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</si>
  <si>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</si>
  <si>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</si>
  <si>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</si>
  <si>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</si>
  <si>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</si>
  <si>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</si>
  <si>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</si>
  <si>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</si>
  <si>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</si>
  <si>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</si>
  <si>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</si>
  <si>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</si>
  <si>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</si>
  <si>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</si>
  <si>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</si>
  <si>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</si>
  <si>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</si>
  <si>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</si>
  <si>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</si>
  <si>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</si>
  <si>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</si>
  <si>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</si>
  <si>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</si>
  <si>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</si>
  <si>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</si>
  <si>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</si>
  <si>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</si>
  <si>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</si>
  <si>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</si>
  <si>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</si>
  <si>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</si>
  <si>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</si>
  <si>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</si>
  <si>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</si>
  <si>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</si>
  <si>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</si>
  <si>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</si>
  <si>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</si>
  <si>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</si>
  <si>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</si>
  <si>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</si>
  <si>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</si>
  <si>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</si>
  <si>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</si>
  <si>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</si>
  <si>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</si>
  <si>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</si>
  <si>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</si>
  <si>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</si>
  <si>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</si>
  <si>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</si>
  <si>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</si>
  <si>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</si>
  <si>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</si>
  <si>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</si>
  <si>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</si>
  <si>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</si>
  <si>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</si>
  <si>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</si>
  <si>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</si>
  <si>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</si>
  <si>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</si>
  <si>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</si>
  <si>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</si>
  <si>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</si>
  <si>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</si>
  <si>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</si>
  <si>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</si>
  <si>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</si>
  <si>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</si>
  <si>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</si>
  <si>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</si>
  <si>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</si>
  <si>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</si>
  <si>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</si>
  <si>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</si>
  <si>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</si>
  <si>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</si>
  <si>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</si>
  <si>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</si>
  <si>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</si>
  <si>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</si>
  <si>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</si>
  <si>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</si>
  <si>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</si>
  <si>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</si>
  <si>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</si>
  <si>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</si>
  <si>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</si>
  <si>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</si>
  <si>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</si>
  <si>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</si>
  <si>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</si>
  <si>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</si>
  <si>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</si>
  <si>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</si>
  <si>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</si>
  <si>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</si>
  <si>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</si>
  <si>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</si>
  <si>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</si>
  <si>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</si>
  <si>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</si>
  <si>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</si>
  <si>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</si>
  <si>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</si>
  <si>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</si>
  <si>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</si>
  <si>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</si>
  <si>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</si>
  <si>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</si>
  <si>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</si>
  <si>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</si>
  <si>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</si>
  <si>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</si>
  <si>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</si>
  <si>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</si>
  <si>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</si>
  <si>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</si>
  <si>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</si>
  <si>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</si>
  <si>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</si>
  <si>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</si>
  <si>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</si>
  <si>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</si>
  <si>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</si>
  <si>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</si>
  <si>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</si>
  <si>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</si>
  <si>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</si>
  <si>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</si>
  <si>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</si>
  <si>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</si>
  <si>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</si>
  <si>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</si>
  <si>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</si>
  <si>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</si>
  <si>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</si>
  <si>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</si>
  <si>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</si>
  <si>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</si>
  <si>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</si>
  <si>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</si>
  <si>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</si>
  <si>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</si>
  <si>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</si>
  <si>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</si>
  <si>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</si>
  <si>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</si>
  <si>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</si>
  <si>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</si>
  <si>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</si>
  <si>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</si>
  <si>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</si>
  <si>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</si>
  <si>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</si>
  <si>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</si>
  <si>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</si>
  <si>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</si>
  <si>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</si>
  <si>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</si>
  <si>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</si>
  <si>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</si>
  <si>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</si>
  <si>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</si>
  <si>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</si>
  <si>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</si>
  <si>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</si>
  <si>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</si>
  <si>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</si>
  <si>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</si>
  <si>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</si>
  <si>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</si>
  <si>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</si>
  <si>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</si>
  <si>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</si>
  <si>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</si>
  <si>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</si>
  <si>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</si>
  <si>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</si>
  <si>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</si>
  <si>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</si>
  <si>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</si>
  <si>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</si>
  <si>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</si>
  <si>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</si>
  <si>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</si>
  <si>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</si>
  <si>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</si>
  <si>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</si>
  <si>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</si>
  <si>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</si>
  <si>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</si>
  <si>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</si>
  <si>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</si>
  <si>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</si>
  <si>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</si>
  <si>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</si>
  <si>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</si>
  <si>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</si>
  <si>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</si>
  <si>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</si>
  <si>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</si>
  <si>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</si>
  <si>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</si>
  <si>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</si>
  <si>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</si>
  <si>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</si>
  <si>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</si>
  <si>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</si>
  <si>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</si>
  <si>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</si>
  <si>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</si>
  <si>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</si>
  <si>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</si>
  <si>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</si>
  <si>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</si>
  <si>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</si>
  <si>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</si>
  <si>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</si>
  <si>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</si>
  <si>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</si>
  <si>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</si>
  <si>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</si>
  <si>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</si>
  <si>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</si>
  <si>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</si>
  <si>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</si>
  <si>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</si>
  <si>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</si>
  <si>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</si>
  <si>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</si>
  <si>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</si>
  <si>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</si>
  <si>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</si>
  <si>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</si>
  <si>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</si>
  <si>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</si>
  <si>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</si>
  <si>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</si>
  <si>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</si>
  <si>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</si>
  <si>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</si>
  <si>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</si>
  <si>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</si>
  <si>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</si>
  <si>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</si>
  <si>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</si>
  <si>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</si>
  <si>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</si>
  <si>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</si>
  <si>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</si>
  <si>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</si>
  <si>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</si>
  <si>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</si>
  <si>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</si>
  <si>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</si>
  <si>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</si>
  <si>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</si>
  <si>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</si>
  <si>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</si>
  <si>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</si>
  <si>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</si>
  <si>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</si>
  <si>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</si>
  <si>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</si>
  <si>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</si>
  <si>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</si>
  <si>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</si>
  <si>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</si>
  <si>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</si>
  <si>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</si>
  <si>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</si>
  <si>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</si>
  <si>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</si>
  <si>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</si>
  <si>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</si>
  <si>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</si>
  <si>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</si>
  <si>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</si>
  <si>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</si>
  <si>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</si>
  <si>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</si>
  <si>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</si>
  <si>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</si>
  <si>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</si>
  <si>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</si>
  <si>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</si>
  <si>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</si>
  <si>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</si>
  <si>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</si>
  <si>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</si>
  <si>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</si>
  <si>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</si>
  <si>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</si>
  <si>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</si>
  <si>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</si>
  <si>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</si>
  <si>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</si>
  <si>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</si>
  <si>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</si>
  <si>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</si>
  <si>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</si>
  <si>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</si>
  <si>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</si>
  <si>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</si>
  <si>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</si>
  <si>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</si>
  <si>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</si>
  <si>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</si>
  <si>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</si>
  <si>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</si>
  <si>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</si>
  <si>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</si>
  <si>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</si>
  <si>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</si>
  <si>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</si>
  <si>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</si>
  <si>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</si>
  <si>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</si>
  <si>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</si>
  <si>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</si>
  <si>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</si>
  <si>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</si>
  <si>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</si>
  <si>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</si>
  <si>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</si>
  <si>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</si>
  <si>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</si>
  <si>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</si>
  <si>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</si>
  <si>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</si>
  <si>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</si>
  <si>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</si>
  <si>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</si>
  <si>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</si>
  <si>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</si>
  <si>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</si>
  <si>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</si>
  <si>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</si>
  <si>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</si>
  <si>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</si>
  <si>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</si>
  <si>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</si>
  <si>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</si>
  <si>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</si>
  <si>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</si>
  <si>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</si>
  <si>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</si>
  <si>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</si>
  <si>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</si>
  <si>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</si>
  <si>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</si>
  <si>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</si>
  <si>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</si>
  <si>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</si>
  <si>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</si>
  <si>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</si>
  <si>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</si>
  <si>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</si>
  <si>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</si>
  <si>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</si>
  <si>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</si>
  <si>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</si>
  <si>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</si>
  <si>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</si>
  <si>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</si>
  <si>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</si>
  <si>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</si>
  <si>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</si>
  <si>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</si>
  <si>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</si>
  <si>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</si>
  <si>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</si>
  <si>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</si>
  <si>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</si>
  <si>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</si>
  <si>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</si>
  <si>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</si>
  <si>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</si>
  <si>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</si>
  <si>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</si>
  <si>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</si>
  <si>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</si>
  <si>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</si>
  <si>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</si>
  <si>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</si>
  <si>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</si>
  <si>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</si>
  <si>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</si>
  <si>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</si>
  <si>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</si>
  <si>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</si>
  <si>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</si>
  <si>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</si>
  <si>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</si>
  <si>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</si>
  <si>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</si>
  <si>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</si>
  <si>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</si>
  <si>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</si>
  <si>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</si>
  <si>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</si>
  <si>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</si>
  <si>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</si>
  <si>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</si>
  <si>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</si>
  <si>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</si>
  <si>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</si>
  <si>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</si>
  <si>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</si>
  <si>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</si>
  <si>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</si>
  <si>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</si>
  <si>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</si>
  <si>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</si>
  <si>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</si>
  <si>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</si>
  <si>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</si>
  <si>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</si>
  <si>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</si>
  <si>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</si>
  <si>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</si>
  <si>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</si>
  <si>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</si>
  <si>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</si>
  <si>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</si>
  <si>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</si>
  <si>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</si>
  <si>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</si>
  <si>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</si>
  <si>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</si>
  <si>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</si>
  <si>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</si>
  <si>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</si>
  <si>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</si>
  <si>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</si>
  <si>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</si>
  <si>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</si>
  <si>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</si>
  <si>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</si>
  <si>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</si>
  <si>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</si>
  <si>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</si>
  <si>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</si>
  <si>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</si>
  <si>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</si>
  <si>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</si>
  <si>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</si>
  <si>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</si>
  <si>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</si>
  <si>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</si>
  <si>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</si>
  <si>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</si>
  <si>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</si>
  <si>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</si>
  <si>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</si>
  <si>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</si>
  <si>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</si>
  <si>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</si>
  <si>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</si>
  <si>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</si>
  <si>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</si>
  <si>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</si>
  <si>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</si>
  <si>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</si>
  <si>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</si>
  <si>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</si>
  <si>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</si>
  <si>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</si>
  <si>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</si>
  <si>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</si>
  <si>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</si>
  <si>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</si>
  <si>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</si>
  <si>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</si>
  <si>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</si>
  <si>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</si>
  <si>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</si>
  <si>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</si>
  <si>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</si>
  <si>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</si>
  <si>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</si>
  <si>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</si>
  <si>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</si>
  <si>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</si>
  <si>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</si>
  <si>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</si>
  <si>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</si>
  <si>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</si>
  <si>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</si>
  <si>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</si>
  <si>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</si>
  <si>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</si>
  <si>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</si>
  <si>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</si>
  <si>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</si>
  <si>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</si>
  <si>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</si>
  <si>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</si>
  <si>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</si>
  <si>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</si>
  <si>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</si>
  <si>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</si>
  <si>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</si>
  <si>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</si>
  <si>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</si>
  <si>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</si>
  <si>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</si>
  <si>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</si>
  <si>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</si>
  <si>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</si>
  <si>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</si>
  <si>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</si>
  <si>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</si>
  <si>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</si>
  <si>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</si>
  <si>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</si>
  <si>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</si>
  <si>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</si>
  <si>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</si>
  <si>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</si>
  <si>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</si>
  <si>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</si>
  <si>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</si>
  <si>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</si>
  <si>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</si>
  <si>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</si>
  <si>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</si>
  <si>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</si>
  <si>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</si>
  <si>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</si>
  <si>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</si>
  <si>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</si>
  <si>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</si>
  <si>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</si>
  <si>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</si>
  <si>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</si>
  <si>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</si>
  <si>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</si>
  <si>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</si>
  <si>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</si>
  <si>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</si>
  <si>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</si>
  <si>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</si>
  <si>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</si>
  <si>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</si>
  <si>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</si>
  <si>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</si>
  <si>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</si>
  <si>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</si>
  <si>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</si>
  <si>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</si>
  <si>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</si>
  <si>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</si>
  <si>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</si>
  <si>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</si>
  <si>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</si>
  <si>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</si>
  <si>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</si>
  <si>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</si>
  <si>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</si>
  <si>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</si>
  <si>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</si>
  <si>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</si>
  <si>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</si>
  <si>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</si>
  <si>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</si>
  <si>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</si>
  <si>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</si>
  <si>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</si>
  <si>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</si>
  <si>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</si>
  <si>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</si>
  <si>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</si>
  <si>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</si>
  <si>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</si>
  <si>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</si>
  <si>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</si>
  <si>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</si>
  <si>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</si>
  <si>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</si>
  <si>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</si>
  <si>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</si>
  <si>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</si>
  <si>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</si>
  <si>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</si>
  <si>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</si>
  <si>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</si>
  <si>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</si>
  <si>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</si>
  <si>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</si>
  <si>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</si>
  <si>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</si>
  <si>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</si>
  <si>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</si>
  <si>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</si>
  <si>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</si>
  <si>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</si>
  <si>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</si>
  <si>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</si>
  <si>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</si>
  <si>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</si>
  <si>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</si>
  <si>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</si>
  <si>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</si>
  <si>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</si>
  <si>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</si>
  <si>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</si>
  <si>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</si>
  <si>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</si>
  <si>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</si>
  <si>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</si>
  <si>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</si>
  <si>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</si>
  <si>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</si>
  <si>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</si>
  <si>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</si>
  <si>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</si>
  <si>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</si>
  <si>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</si>
  <si>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</si>
  <si>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</si>
  <si>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</si>
  <si>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</si>
  <si>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</si>
  <si>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</si>
  <si>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</si>
  <si>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</si>
  <si>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</si>
  <si>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</si>
  <si>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</si>
  <si>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</si>
  <si>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</si>
  <si>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</si>
  <si>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</si>
  <si>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</si>
  <si>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</si>
  <si>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</si>
  <si>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</si>
  <si>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</si>
  <si>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</si>
  <si>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</si>
  <si>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</si>
  <si>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</si>
  <si>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</si>
  <si>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</si>
  <si>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</si>
  <si>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</si>
  <si>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</si>
  <si>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</si>
  <si>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</si>
  <si>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</si>
  <si>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</si>
  <si>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</si>
  <si>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</si>
  <si>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</si>
  <si>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</si>
  <si>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</si>
  <si>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</si>
  <si>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</si>
  <si>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</si>
  <si>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</si>
  <si>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</si>
  <si>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</si>
  <si>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</si>
  <si>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</si>
  <si>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</si>
  <si>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</si>
  <si>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</si>
  <si>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</si>
  <si>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</si>
  <si>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</si>
  <si>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</si>
  <si>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</si>
  <si>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</si>
  <si>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</si>
  <si>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</si>
  <si>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</si>
  <si>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</si>
  <si>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</si>
  <si>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</si>
  <si>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</si>
  <si>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</si>
  <si>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</si>
  <si>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</si>
  <si>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</si>
  <si>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</si>
  <si>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</si>
  <si>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</si>
  <si>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</si>
  <si>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</si>
  <si>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</si>
  <si>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</si>
  <si>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</si>
  <si>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</si>
  <si>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</si>
  <si>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</si>
  <si>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</si>
  <si>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</si>
  <si>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</si>
  <si>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</si>
  <si>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</si>
  <si>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</si>
  <si>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</si>
  <si>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</si>
  <si>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</si>
  <si>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</si>
  <si>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</si>
  <si>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</si>
  <si>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</si>
  <si>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</si>
  <si>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</si>
  <si>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</si>
  <si>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</si>
  <si>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</si>
  <si>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</si>
  <si>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</si>
  <si>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</si>
  <si>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</si>
  <si>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</si>
  <si>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</si>
  <si>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</si>
  <si>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</si>
  <si>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</si>
  <si>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</si>
  <si>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</si>
  <si>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</si>
  <si>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</si>
  <si>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</si>
  <si>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</si>
  <si>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</si>
  <si>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</si>
  <si>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</si>
  <si>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</si>
  <si>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</si>
  <si>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</si>
  <si>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</si>
  <si>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</si>
  <si>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</si>
  <si>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</si>
  <si>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</si>
  <si>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</si>
  <si>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</si>
  <si>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</si>
  <si>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</si>
  <si>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</si>
  <si>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</si>
  <si>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</si>
  <si>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</si>
  <si>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</si>
  <si>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</si>
  <si>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</si>
  <si>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</si>
  <si>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</si>
  <si>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</si>
  <si>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</si>
  <si>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</si>
  <si>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</si>
  <si>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</si>
  <si>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</si>
  <si>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</si>
  <si>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</si>
  <si>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</si>
  <si>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</si>
  <si>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</si>
  <si>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</si>
  <si>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</si>
  <si>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</si>
  <si>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</si>
  <si>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</si>
  <si>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</si>
  <si>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</si>
  <si>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</si>
  <si>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</si>
  <si>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</si>
  <si>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</si>
  <si>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</si>
  <si>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</si>
  <si>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</si>
  <si>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</si>
  <si>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</si>
  <si>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</si>
  <si>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</si>
  <si>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</si>
  <si>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</si>
  <si>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</si>
  <si>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</si>
  <si>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</si>
  <si>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</si>
  <si>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</si>
  <si>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</si>
  <si>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</si>
  <si>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</si>
  <si>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</si>
  <si>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</si>
  <si>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</si>
  <si>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</si>
  <si>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</si>
  <si>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</si>
  <si>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</si>
  <si>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</si>
  <si>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</si>
  <si>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</si>
  <si>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</si>
  <si>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</si>
  <si>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</si>
  <si>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</si>
  <si>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</si>
  <si>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</si>
  <si>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</si>
  <si>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</si>
  <si>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</si>
  <si>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</si>
  <si>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</si>
  <si>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</si>
  <si>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</si>
  <si>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</si>
  <si>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</si>
  <si>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</si>
  <si>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</si>
  <si>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</si>
  <si>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</si>
  <si>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</si>
  <si>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</si>
  <si>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</si>
  <si>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</si>
  <si>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</si>
  <si>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</si>
  <si>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</si>
  <si>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</si>
  <si>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</si>
  <si>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</si>
  <si>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</si>
  <si>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</si>
  <si>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</si>
  <si>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</si>
  <si>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</si>
  <si>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</si>
  <si>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</si>
  <si>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</si>
  <si>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</si>
  <si>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</si>
  <si>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</si>
  <si>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</si>
  <si>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</si>
  <si>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</si>
  <si>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</si>
  <si>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</si>
  <si>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</si>
  <si>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</si>
  <si>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</si>
  <si>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</si>
  <si>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</si>
  <si>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</si>
  <si>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</si>
  <si>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</si>
  <si>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</si>
  <si>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</si>
  <si>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</si>
  <si>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</si>
  <si>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</si>
  <si>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</si>
  <si>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</si>
  <si>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</si>
  <si>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</si>
  <si>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</si>
  <si>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</si>
  <si>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</si>
  <si>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</si>
  <si>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</si>
  <si>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</si>
  <si>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</si>
  <si>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</si>
  <si>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</si>
  <si>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</si>
  <si>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</si>
  <si>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</si>
  <si>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</si>
  <si>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</si>
  <si>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</si>
  <si>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</si>
  <si>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</si>
  <si>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</si>
  <si>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</si>
  <si>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</si>
  <si>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</si>
  <si>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</si>
  <si>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</si>
  <si>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</si>
  <si>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</si>
  <si>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</si>
  <si>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</si>
  <si>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</si>
  <si>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</si>
  <si>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</si>
  <si>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</si>
  <si>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</si>
  <si>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</si>
  <si>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</si>
  <si>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</si>
  <si>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</si>
  <si>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</si>
  <si>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</si>
  <si>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</si>
  <si>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</si>
  <si>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</si>
  <si>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</si>
  <si>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</si>
  <si>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</si>
  <si>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</si>
  <si>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</si>
  <si>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</si>
  <si>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</si>
  <si>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</si>
  <si>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</si>
  <si>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</si>
  <si>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</si>
  <si>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</si>
  <si>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</si>
  <si>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</si>
  <si>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</si>
  <si>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</si>
  <si>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</si>
  <si>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</si>
  <si>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</si>
  <si>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</si>
  <si>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</si>
  <si>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</si>
  <si>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</si>
  <si>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</si>
  <si>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</si>
  <si>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</si>
  <si>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</si>
  <si>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</si>
  <si>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</si>
  <si>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</si>
  <si>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</si>
  <si>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</si>
  <si>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</si>
  <si>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</si>
  <si>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</si>
  <si>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</si>
  <si>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</si>
  <si>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</si>
  <si>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</si>
  <si>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</si>
  <si>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</si>
  <si>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</si>
  <si>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</si>
  <si>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</si>
  <si>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</si>
  <si>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</si>
  <si>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</si>
  <si>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</si>
  <si>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</si>
  <si>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</si>
  <si>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</si>
  <si>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</si>
  <si>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</si>
  <si>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</si>
  <si>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</si>
  <si>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</si>
  <si>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</si>
  <si>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</si>
  <si>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</si>
  <si>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</si>
  <si>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</si>
  <si>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</si>
  <si>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</si>
  <si>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</si>
  <si>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</si>
  <si>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</si>
  <si>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</si>
  <si>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</si>
  <si>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</si>
  <si>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</si>
  <si>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</si>
  <si>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</si>
  <si>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</si>
  <si>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</si>
  <si>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</si>
  <si>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</si>
  <si>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</si>
  <si>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</si>
  <si>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</si>
  <si>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</si>
  <si>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</si>
  <si>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</si>
  <si>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</si>
  <si>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</si>
  <si>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</si>
  <si>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</si>
  <si>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</si>
  <si>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</si>
  <si>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</si>
  <si>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</si>
  <si>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</si>
  <si>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</si>
  <si>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</si>
  <si>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</si>
  <si>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</si>
  <si>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</si>
  <si>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</si>
  <si>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</si>
  <si>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</si>
  <si>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</si>
  <si>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</si>
  <si>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</si>
  <si>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</si>
  <si>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</si>
  <si>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</si>
  <si>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</si>
  <si>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</si>
  <si>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</si>
  <si>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</si>
  <si>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</si>
  <si>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</si>
  <si>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</si>
  <si>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</si>
  <si>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</si>
  <si>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</si>
  <si>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</si>
  <si>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</si>
  <si>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</si>
  <si>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</si>
  <si>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</si>
  <si>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</si>
  <si>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</si>
  <si>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</si>
  <si>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</si>
  <si>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</si>
  <si>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</si>
  <si>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</si>
  <si>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</si>
  <si>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</si>
  <si>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</si>
  <si>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</si>
  <si>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</si>
  <si>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</si>
  <si>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</si>
  <si>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</si>
  <si>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</si>
  <si>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</si>
  <si>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</si>
  <si>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</si>
  <si>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</si>
  <si>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</si>
  <si>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</si>
  <si>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</si>
  <si>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</si>
  <si>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</si>
  <si>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</si>
  <si>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</si>
  <si>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</si>
  <si>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</si>
  <si>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</si>
  <si>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</si>
  <si>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</si>
  <si>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</si>
  <si>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</si>
  <si>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</si>
  <si>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</si>
  <si>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</si>
  <si>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</si>
  <si>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</si>
  <si>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</si>
  <si>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</si>
  <si>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</si>
  <si>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</si>
  <si>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</si>
  <si>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</si>
  <si>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</si>
  <si>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</si>
  <si>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</si>
  <si>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</si>
  <si>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</si>
  <si>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</si>
  <si>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</si>
  <si>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</si>
  <si>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</si>
  <si>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</si>
  <si>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</si>
  <si>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</si>
  <si>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</si>
  <si>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</si>
  <si>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</si>
  <si>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</si>
  <si>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</si>
  <si>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</si>
  <si>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</si>
  <si>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</si>
  <si>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</si>
  <si>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</si>
  <si>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</si>
  <si>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</si>
  <si>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</si>
  <si>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</si>
  <si>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</si>
  <si>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</si>
  <si>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</si>
  <si>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</si>
  <si>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</si>
  <si>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</si>
  <si>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</si>
  <si>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</si>
  <si>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</si>
  <si>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</si>
  <si>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</si>
  <si>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</si>
  <si>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</si>
  <si>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</si>
  <si>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</si>
  <si>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</si>
  <si>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</si>
  <si>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</si>
  <si>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</si>
  <si>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</si>
  <si>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</si>
  <si>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</si>
  <si>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</si>
  <si>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</si>
  <si>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</si>
  <si>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</si>
  <si>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</si>
  <si>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</si>
  <si>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</si>
  <si>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</si>
  <si>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</si>
  <si>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</si>
  <si>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</si>
  <si>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</si>
  <si>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</si>
  <si>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</si>
  <si>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</si>
  <si>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</si>
  <si>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</si>
  <si>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</si>
  <si>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</si>
  <si>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</si>
  <si>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</si>
  <si>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</si>
  <si>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</si>
  <si>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</si>
  <si>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</si>
  <si>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</si>
  <si>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</si>
  <si>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</si>
  <si>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</si>
  <si>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</si>
  <si>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</si>
  <si>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</si>
  <si>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</si>
  <si>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</si>
  <si>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</si>
  <si>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</si>
  <si>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</si>
  <si>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</si>
  <si>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</si>
  <si>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</si>
  <si>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</si>
  <si>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</si>
  <si>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</si>
  <si>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</si>
  <si>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</si>
  <si>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</si>
  <si>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</si>
  <si>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</si>
  <si>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</si>
  <si>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</si>
  <si>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</si>
  <si>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</si>
  <si>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</si>
  <si>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</si>
  <si>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</si>
  <si>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</si>
  <si>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</si>
  <si>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</si>
  <si>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</si>
  <si>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</si>
  <si>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</si>
  <si>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</si>
  <si>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</si>
  <si>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</si>
  <si>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</si>
  <si>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</si>
  <si>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</si>
  <si>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</si>
  <si>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</si>
  <si>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</si>
  <si>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</si>
  <si>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</si>
  <si>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</si>
  <si>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</si>
  <si>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</si>
  <si>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</si>
  <si>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</si>
  <si>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</si>
  <si>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</si>
  <si>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</si>
  <si>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</si>
  <si>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</si>
  <si>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</si>
  <si>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</si>
  <si>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</si>
  <si>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</si>
  <si>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</si>
  <si>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</si>
  <si>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</si>
  <si>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</si>
  <si>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</si>
  <si>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</si>
  <si>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</si>
  <si>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</si>
  <si>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</si>
  <si>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</si>
  <si>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</si>
  <si>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</si>
  <si>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</si>
  <si>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</si>
  <si>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</si>
  <si>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</si>
  <si>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</si>
  <si>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</si>
  <si>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</si>
  <si>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</si>
  <si>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</si>
  <si>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</si>
  <si>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</si>
  <si>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</si>
  <si>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</si>
  <si>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</si>
  <si>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</si>
  <si>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</si>
  <si>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</si>
  <si>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</si>
  <si>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</si>
  <si>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</si>
  <si>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</si>
  <si>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</si>
  <si>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</si>
  <si>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</si>
  <si>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</si>
  <si>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</si>
  <si>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</si>
  <si>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</si>
  <si>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</si>
  <si>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</si>
  <si>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</si>
  <si>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</si>
  <si>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</si>
  <si>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</si>
  <si>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</si>
  <si>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</si>
  <si>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</si>
  <si>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</si>
  <si>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</si>
  <si>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</si>
  <si>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</si>
  <si>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</si>
  <si>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</si>
  <si>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</si>
  <si>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</si>
  <si>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</si>
  <si>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</si>
  <si>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</si>
  <si>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</si>
  <si>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</si>
  <si>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</si>
  <si>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</si>
  <si>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</si>
  <si>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</si>
  <si>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</si>
  <si>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</si>
  <si>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</si>
  <si>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</si>
  <si>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</si>
  <si>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</si>
  <si>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</si>
  <si>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</si>
  <si>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</si>
  <si>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</si>
  <si>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</si>
  <si>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</si>
  <si>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</si>
  <si>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</si>
  <si>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</si>
  <si>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</si>
  <si>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</si>
  <si>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</si>
  <si>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</si>
  <si>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</si>
  <si>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</si>
  <si>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</si>
  <si>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</si>
  <si>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</si>
  <si>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</si>
  <si>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</si>
  <si>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</si>
  <si>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</si>
  <si>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</si>
  <si>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</si>
  <si>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</si>
  <si>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</si>
  <si>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</si>
  <si>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</si>
  <si>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</si>
  <si>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</si>
  <si>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</si>
  <si>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</si>
  <si>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</si>
  <si>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</si>
  <si>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</si>
  <si>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</si>
  <si>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</si>
  <si>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</si>
  <si>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</si>
  <si>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</si>
  <si>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</si>
  <si>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</si>
  <si>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</si>
  <si>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</si>
  <si>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</si>
  <si>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</si>
  <si>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</si>
  <si>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</si>
  <si>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</si>
  <si>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</si>
  <si>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</si>
  <si>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</si>
  <si>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</si>
  <si>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</si>
  <si>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</si>
  <si>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</si>
  <si>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</si>
  <si>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</si>
  <si>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</si>
  <si>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</si>
  <si>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</si>
  <si>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</si>
  <si>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</si>
  <si>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</si>
  <si>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</si>
  <si>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</si>
  <si>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</si>
  <si>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</si>
  <si>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</si>
  <si>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</si>
  <si>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</si>
  <si>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</si>
  <si>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</si>
  <si>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</si>
  <si>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</si>
  <si>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</si>
  <si>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</si>
  <si>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</si>
  <si>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</si>
  <si>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</si>
  <si>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</si>
  <si>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</si>
  <si>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</si>
  <si>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</si>
  <si>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</si>
  <si>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</si>
  <si>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</si>
  <si>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</si>
  <si>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</si>
  <si>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</si>
  <si>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</si>
  <si>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</si>
  <si>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</si>
  <si>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</si>
  <si>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</si>
  <si>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</si>
  <si>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</si>
  <si>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</si>
  <si>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</si>
  <si>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</si>
  <si>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</si>
  <si>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</si>
  <si>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</si>
  <si>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</si>
  <si>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</si>
  <si>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</si>
  <si>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</si>
  <si>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</si>
  <si>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</si>
  <si>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</si>
  <si>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</si>
  <si>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</si>
  <si>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</si>
  <si>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</si>
  <si>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</si>
  <si>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</si>
  <si>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</si>
  <si>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</si>
  <si>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</si>
  <si>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</si>
  <si>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</si>
  <si>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</si>
  <si>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</si>
  <si>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</si>
  <si>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</si>
  <si>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</si>
  <si>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</si>
  <si>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</si>
  <si>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</si>
  <si>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</si>
  <si>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</si>
  <si>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</si>
  <si>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</si>
  <si>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</si>
  <si>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</si>
  <si>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</si>
  <si>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</si>
  <si>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</si>
  <si>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</si>
  <si>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</si>
  <si>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</si>
  <si>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</si>
  <si>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</si>
  <si>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</si>
  <si>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</si>
  <si>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</si>
  <si>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</si>
  <si>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</si>
  <si>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</si>
  <si>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</si>
  <si>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</si>
  <si>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</si>
  <si>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</si>
  <si>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</si>
  <si>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</si>
  <si>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</si>
  <si>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</si>
  <si>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</si>
  <si>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</si>
  <si>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</si>
  <si>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</si>
  <si>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</si>
  <si>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</si>
  <si>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</si>
  <si>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</si>
  <si>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</si>
  <si>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</si>
  <si>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</si>
  <si>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</si>
  <si>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</si>
  <si>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</si>
  <si>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</si>
  <si>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</si>
  <si>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</si>
  <si>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</si>
  <si>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</si>
  <si>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</si>
  <si>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</si>
  <si>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</si>
  <si>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</si>
  <si>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</si>
  <si>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</si>
  <si>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</si>
  <si>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</si>
  <si>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</si>
  <si>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</si>
  <si>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</si>
  <si>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</si>
  <si>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</si>
  <si>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</si>
  <si>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</si>
  <si>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</si>
  <si>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</si>
  <si>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</si>
  <si>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</si>
  <si>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</si>
  <si>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</si>
  <si>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</si>
  <si>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</si>
  <si>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</si>
  <si>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</si>
  <si>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</si>
  <si>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</si>
  <si>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</si>
  <si>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</si>
  <si>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</si>
  <si>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</si>
  <si>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</si>
  <si>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</si>
  <si>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</si>
  <si>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</si>
  <si>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</si>
  <si>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</si>
  <si>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</si>
  <si>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</si>
  <si>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</si>
  <si>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</si>
  <si>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</si>
  <si>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</si>
  <si>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</si>
  <si>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</si>
  <si>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</si>
  <si>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</si>
  <si>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</si>
  <si>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</si>
  <si>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</si>
  <si>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</si>
  <si>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</si>
  <si>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</si>
  <si>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</si>
  <si>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</si>
  <si>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</si>
  <si>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</si>
  <si>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</si>
  <si>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</si>
  <si>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</si>
  <si>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</si>
  <si>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</si>
  <si>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</si>
  <si>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</si>
  <si>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</si>
  <si>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</si>
  <si>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</si>
  <si>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</si>
  <si>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</si>
  <si>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</si>
  <si>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</si>
  <si>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</si>
  <si>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</si>
  <si>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</si>
  <si>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</si>
  <si>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</si>
  <si>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</si>
  <si>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</si>
  <si>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</si>
  <si>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</si>
  <si>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</si>
  <si>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</si>
  <si>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</si>
  <si>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</si>
  <si>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</si>
  <si>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</si>
  <si>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</si>
  <si>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</si>
  <si>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</si>
  <si>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</si>
  <si>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</si>
  <si>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</si>
  <si>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</si>
  <si>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</si>
  <si>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</si>
  <si>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</si>
  <si>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</si>
  <si>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</si>
  <si>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</si>
  <si>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</si>
  <si>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</si>
  <si>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</si>
  <si>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</si>
  <si>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</si>
  <si>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</si>
  <si>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</si>
  <si>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</si>
  <si>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</si>
  <si>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</si>
  <si>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</si>
  <si>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</si>
  <si>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</si>
  <si>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</si>
  <si>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</si>
  <si>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</si>
  <si>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</si>
  <si>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</si>
  <si>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</si>
  <si>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</si>
  <si>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</si>
  <si>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</si>
  <si>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</si>
  <si>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</si>
  <si>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</si>
  <si>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</si>
  <si>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</si>
  <si>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</si>
  <si>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</si>
  <si>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</si>
  <si>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</si>
  <si>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</si>
  <si>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</si>
  <si>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</si>
  <si>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</si>
  <si>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</si>
  <si>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</si>
  <si>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</si>
  <si>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</si>
  <si>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</si>
  <si>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</si>
  <si>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</si>
  <si>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</si>
  <si>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</si>
  <si>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</si>
  <si>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</si>
  <si>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</si>
  <si>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</si>
  <si>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</si>
  <si>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</si>
  <si>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</si>
  <si>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</si>
  <si>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</si>
  <si>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</si>
  <si>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</si>
  <si>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</si>
  <si>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</si>
  <si>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</si>
  <si>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</si>
  <si>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</si>
  <si>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</si>
  <si>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</si>
  <si>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</si>
  <si>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</si>
  <si>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</si>
  <si>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</si>
  <si>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</si>
  <si>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</si>
  <si>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</si>
  <si>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</si>
  <si>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</si>
  <si>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</si>
  <si>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</si>
  <si>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</si>
  <si>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</si>
  <si>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</si>
  <si>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</si>
  <si>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</si>
  <si>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</si>
  <si>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</si>
  <si>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</si>
  <si>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</si>
  <si>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</si>
  <si>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</si>
  <si>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</si>
  <si>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</si>
  <si>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</si>
  <si>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</si>
  <si>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</si>
  <si>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</si>
  <si>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</si>
  <si>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</si>
  <si>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</si>
  <si>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</si>
  <si>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</si>
  <si>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</si>
  <si>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</si>
  <si>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</si>
  <si>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</si>
  <si>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</si>
  <si>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</si>
  <si>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</si>
  <si>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</si>
  <si>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</si>
  <si>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</si>
  <si>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</si>
  <si>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</si>
  <si>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</si>
  <si>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</si>
  <si>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</si>
  <si>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</si>
  <si>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</si>
  <si>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</si>
  <si>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</si>
  <si>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</si>
  <si>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</si>
  <si>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</si>
  <si>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</si>
  <si>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</si>
  <si>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</si>
  <si>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</si>
  <si>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</si>
  <si>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</si>
  <si>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</si>
  <si>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</si>
  <si>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</si>
  <si>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</si>
  <si>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</si>
  <si>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</si>
  <si>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</si>
  <si>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</si>
  <si>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</si>
  <si>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</si>
  <si>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</si>
  <si>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</si>
  <si>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</si>
  <si>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</si>
  <si>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</si>
  <si>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</si>
  <si>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</si>
  <si>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</si>
  <si>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</si>
  <si>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</si>
  <si>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</si>
  <si>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</si>
  <si>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</si>
  <si>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</si>
  <si>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</si>
  <si>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</si>
  <si>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</si>
  <si>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</si>
  <si>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</si>
  <si>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</si>
  <si>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</si>
  <si>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</si>
  <si>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</si>
  <si>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</si>
  <si>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</si>
  <si>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</si>
  <si>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</si>
  <si>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</si>
  <si>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</si>
  <si>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</si>
  <si>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</si>
  <si>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</si>
  <si>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</si>
  <si>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</si>
  <si>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</si>
  <si>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</si>
  <si>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</si>
  <si>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</si>
  <si>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</si>
  <si>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</si>
  <si>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</si>
  <si>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</si>
  <si>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</si>
  <si>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</si>
  <si>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</si>
  <si>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</si>
  <si>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</si>
  <si>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</si>
  <si>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</si>
  <si>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</si>
  <si>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</si>
  <si>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</si>
  <si>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</si>
  <si>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</si>
  <si>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</si>
  <si>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</si>
  <si>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</si>
  <si>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</si>
  <si>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</si>
  <si>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</si>
  <si>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</si>
  <si>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</si>
  <si>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</si>
  <si>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</si>
  <si>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</si>
  <si>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</si>
  <si>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</si>
  <si>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</si>
  <si>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</si>
  <si>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</si>
  <si>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</si>
  <si>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</si>
  <si>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</si>
  <si>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</si>
  <si>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</si>
  <si>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</si>
  <si>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</si>
  <si>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</si>
  <si>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</si>
  <si>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</si>
  <si>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</si>
  <si>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</si>
  <si>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</si>
  <si>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</si>
  <si>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</si>
  <si>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</si>
  <si>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</si>
  <si>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</si>
  <si>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</si>
  <si>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</si>
  <si>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</si>
  <si>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</si>
  <si>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</si>
  <si>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</si>
  <si>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</si>
  <si>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</si>
  <si>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</si>
  <si>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</si>
  <si>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</si>
  <si>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</si>
  <si>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</si>
  <si>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</si>
  <si>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</si>
  <si>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</si>
  <si>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</si>
  <si>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</si>
  <si>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</si>
  <si>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</si>
  <si>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</si>
  <si>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</si>
  <si>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</si>
  <si>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</si>
  <si>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</si>
  <si>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</si>
  <si>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</si>
  <si>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</si>
  <si>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</si>
  <si>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</si>
  <si>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</si>
  <si>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</si>
  <si>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</si>
  <si>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</si>
  <si>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</si>
  <si>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</si>
  <si>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</si>
  <si>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</si>
  <si>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</si>
  <si>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</si>
  <si>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</si>
  <si>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</si>
  <si>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</si>
  <si>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</si>
  <si>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</si>
  <si>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</si>
  <si>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</si>
  <si>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</si>
  <si>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</si>
  <si>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</si>
  <si>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</si>
  <si>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</si>
  <si>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</si>
  <si>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</si>
  <si>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</si>
  <si>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</si>
  <si>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</si>
  <si>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</si>
  <si>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</si>
  <si>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</si>
  <si>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</si>
  <si>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</si>
  <si>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</si>
  <si>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</si>
  <si>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</si>
  <si>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</si>
  <si>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</si>
  <si>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</si>
  <si>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</si>
  <si>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</si>
  <si>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</si>
  <si>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</si>
  <si>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</si>
  <si>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</si>
  <si>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</si>
  <si>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</si>
  <si>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</si>
  <si>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</si>
  <si>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</si>
  <si>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</si>
  <si>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</si>
  <si>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</si>
  <si>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</si>
  <si>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</si>
  <si>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</si>
  <si>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</si>
  <si>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</si>
  <si>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</si>
  <si>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</si>
  <si>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</si>
  <si>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</si>
  <si>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</si>
  <si>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</si>
  <si>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</si>
  <si>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</si>
  <si>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</si>
  <si>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</si>
  <si>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</si>
  <si>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</si>
  <si>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</si>
  <si>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</si>
  <si>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</si>
  <si>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</si>
  <si>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</si>
  <si>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</si>
  <si>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</si>
  <si>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</si>
  <si>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</si>
  <si>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</si>
  <si>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</si>
  <si>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</si>
  <si>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</si>
  <si>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</si>
  <si>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</si>
  <si>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</si>
  <si>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</si>
  <si>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</si>
  <si>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</si>
  <si>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</si>
  <si>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</si>
  <si>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</si>
  <si>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</si>
  <si>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</si>
  <si>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</si>
  <si>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</si>
  <si>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</si>
  <si>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</si>
  <si>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</si>
  <si>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</si>
  <si>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</si>
  <si>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</si>
  <si>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</si>
  <si>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</si>
  <si>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</si>
  <si>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</si>
  <si>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</si>
  <si>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</si>
  <si>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</si>
  <si>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</si>
  <si>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</si>
  <si>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</si>
  <si>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</si>
  <si>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</si>
  <si>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</si>
  <si>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</si>
  <si>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</si>
  <si>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</si>
  <si>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</si>
  <si>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</si>
  <si>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</si>
  <si>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</si>
  <si>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</si>
  <si>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</si>
  <si>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</si>
  <si>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</si>
  <si>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</si>
  <si>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</si>
  <si>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</si>
  <si>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</si>
  <si>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</si>
  <si>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</si>
  <si>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</si>
  <si>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</si>
  <si>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</si>
  <si>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</si>
  <si>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</si>
  <si>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</si>
  <si>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</si>
  <si>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</si>
  <si>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</si>
  <si>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</si>
  <si>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</si>
  <si>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</si>
  <si>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</si>
  <si>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</si>
  <si>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</si>
  <si>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</si>
  <si>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</si>
  <si>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</si>
  <si>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</si>
  <si>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</si>
  <si>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</si>
  <si>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</si>
  <si>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</si>
  <si>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</si>
  <si>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</si>
  <si>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</si>
  <si>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</si>
  <si>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</si>
  <si>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</si>
  <si>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</si>
  <si>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</si>
  <si>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</si>
  <si>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</si>
  <si>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</si>
  <si>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</si>
  <si>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</si>
  <si>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</si>
  <si>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</si>
  <si>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</si>
  <si>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</si>
  <si>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</si>
  <si>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</si>
  <si>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</si>
  <si>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</si>
  <si>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</si>
  <si>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</si>
  <si>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</si>
  <si>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</si>
  <si>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</si>
  <si>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</si>
  <si>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</si>
  <si>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</si>
  <si>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</si>
  <si>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</si>
  <si>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</si>
  <si>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</si>
  <si>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</si>
  <si>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</si>
  <si>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</si>
  <si>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</si>
  <si>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</si>
  <si>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</si>
  <si>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</si>
  <si>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</si>
  <si>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</si>
  <si>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</si>
  <si>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</si>
  <si>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</si>
  <si>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</si>
  <si>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</si>
  <si>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</si>
  <si>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</si>
  <si>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</si>
  <si>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</si>
  <si>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</si>
  <si>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</si>
  <si>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</si>
  <si>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</si>
  <si>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</si>
  <si>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</si>
  <si>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</si>
  <si>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</si>
  <si>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</si>
  <si>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</si>
  <si>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</si>
  <si>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</si>
  <si>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</si>
  <si>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</si>
  <si>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</si>
  <si>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</si>
  <si>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</si>
  <si>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</si>
  <si>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</si>
  <si>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</si>
  <si>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</si>
  <si>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</si>
  <si>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</si>
  <si>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</si>
  <si>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</si>
  <si>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</si>
  <si>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</si>
  <si>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</si>
  <si>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</si>
  <si>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</si>
  <si>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</si>
  <si>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</si>
  <si>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</si>
  <si>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</si>
  <si>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</si>
  <si>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</si>
  <si>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</si>
  <si>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</si>
  <si>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</si>
  <si>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</si>
  <si>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</si>
  <si>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</si>
  <si>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</si>
  <si>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</si>
  <si>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</si>
  <si>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</si>
  <si>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</si>
  <si>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</si>
  <si>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</si>
  <si>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</si>
  <si>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</si>
  <si>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</si>
  <si>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</si>
  <si>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</si>
  <si>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</si>
  <si>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</si>
  <si>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</si>
  <si>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</si>
  <si>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</si>
  <si>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</si>
  <si>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</si>
  <si>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</si>
  <si>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</si>
  <si>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</si>
  <si>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</si>
  <si>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</si>
  <si>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</si>
  <si>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</si>
  <si>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</si>
  <si>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</si>
  <si>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</si>
  <si>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</si>
  <si>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</si>
  <si>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</si>
  <si>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</si>
  <si>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</si>
  <si>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</si>
  <si>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</si>
  <si>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</si>
  <si>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</si>
  <si>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</si>
  <si>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</si>
  <si>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</si>
  <si>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</si>
  <si>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</si>
  <si>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</si>
  <si>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</si>
  <si>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</si>
  <si>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</si>
  <si>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</si>
  <si>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</si>
  <si>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</si>
  <si>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</si>
  <si>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</si>
  <si>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</si>
  <si>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</si>
  <si>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</si>
  <si>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</si>
  <si>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</si>
  <si>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</si>
  <si>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</si>
  <si>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</si>
  <si>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</si>
  <si>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</si>
  <si>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</si>
  <si>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</si>
  <si>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</si>
  <si>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</si>
  <si>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</si>
  <si>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</si>
  <si>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</si>
  <si>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</si>
  <si>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</si>
  <si>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</si>
  <si>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</si>
  <si>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</si>
  <si>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</si>
  <si>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</si>
  <si>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</si>
  <si>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</si>
  <si>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</si>
  <si>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</si>
  <si>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</si>
  <si>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</si>
  <si>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</si>
  <si>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</si>
  <si>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</si>
  <si>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</si>
  <si>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</si>
  <si>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</si>
  <si>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</si>
  <si>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</si>
  <si>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</si>
  <si>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</si>
  <si>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</si>
  <si>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</si>
  <si>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</si>
  <si>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</si>
  <si>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</si>
  <si>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</si>
  <si>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</si>
  <si>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</si>
  <si>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</si>
  <si>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</si>
  <si>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</si>
  <si>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</si>
  <si>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</si>
  <si>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</si>
  <si>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</si>
  <si>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</si>
  <si>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</si>
  <si>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</si>
  <si>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</si>
  <si>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</si>
  <si>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</si>
  <si>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</si>
  <si>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</si>
  <si>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</si>
  <si>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</si>
  <si>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</si>
  <si>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</si>
  <si>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</si>
  <si>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</si>
  <si>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</si>
  <si>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</si>
  <si>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</si>
  <si>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</si>
  <si>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</si>
  <si>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</si>
  <si>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</si>
  <si>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</si>
  <si>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</si>
  <si>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</si>
  <si>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</si>
  <si>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</si>
  <si>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</si>
  <si>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</si>
  <si>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</si>
  <si>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</si>
  <si>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</si>
  <si>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</si>
  <si>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</si>
  <si>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</si>
  <si>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</si>
  <si>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</si>
  <si>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</si>
  <si>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</si>
  <si>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</si>
  <si>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</si>
  <si>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</si>
  <si>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</si>
  <si>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</si>
  <si>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</si>
  <si>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</si>
  <si>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</si>
  <si>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</si>
  <si>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</si>
  <si>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</si>
  <si>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</si>
  <si>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</si>
  <si>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</si>
  <si>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</si>
  <si>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</si>
  <si>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</si>
  <si>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</si>
  <si>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</si>
  <si>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</si>
  <si>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</si>
  <si>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</si>
  <si>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</si>
  <si>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</si>
  <si>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</si>
  <si>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</si>
  <si>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</si>
  <si>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</si>
  <si>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</si>
  <si>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</si>
  <si>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</si>
  <si>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</si>
  <si>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</si>
  <si>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</si>
  <si>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</si>
  <si>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</si>
  <si>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</si>
  <si>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</si>
  <si>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</si>
  <si>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</si>
  <si>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</si>
  <si>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</si>
  <si>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</si>
  <si>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</si>
  <si>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</si>
  <si>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</si>
  <si>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</si>
  <si>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</si>
  <si>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</si>
  <si>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</si>
  <si>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</si>
  <si>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</si>
  <si>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</si>
  <si>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</si>
  <si>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</si>
  <si>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</si>
  <si>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</si>
  <si>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</si>
  <si>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</si>
  <si>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</si>
  <si>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</si>
  <si>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</si>
  <si>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</si>
  <si>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</si>
  <si>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</si>
  <si>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</si>
  <si>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</si>
  <si>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</si>
  <si>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</si>
  <si>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</si>
  <si>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</si>
  <si>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</si>
  <si>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</si>
  <si>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</si>
  <si>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</si>
  <si>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</si>
  <si>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</si>
  <si>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</si>
  <si>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</si>
  <si>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</si>
  <si>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</si>
  <si>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</si>
  <si>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</si>
  <si>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</si>
  <si>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</si>
  <si>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</si>
  <si>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</si>
  <si>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</si>
  <si>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</si>
  <si>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</si>
  <si>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</si>
  <si>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</si>
  <si>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</si>
  <si>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</si>
  <si>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</si>
  <si>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</si>
  <si>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</si>
  <si>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</si>
  <si>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</si>
  <si>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</si>
  <si>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</si>
  <si>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</si>
  <si>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</si>
  <si>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</si>
  <si>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</si>
  <si>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</si>
  <si>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</si>
  <si>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</si>
  <si>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</si>
  <si>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</si>
  <si>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</si>
  <si>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</si>
  <si>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</si>
  <si>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</si>
  <si>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</si>
  <si>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</si>
  <si>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</si>
  <si>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</si>
  <si>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</si>
  <si>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</si>
  <si>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</si>
  <si>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</si>
  <si>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</si>
  <si>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</si>
  <si>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</si>
  <si>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</si>
  <si>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</si>
  <si>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</si>
  <si>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</si>
  <si>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</si>
  <si>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</si>
  <si>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</si>
  <si>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</si>
  <si>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</si>
  <si>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</si>
  <si>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</si>
  <si>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</si>
  <si>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</si>
  <si>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</si>
  <si>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</si>
  <si>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</si>
  <si>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</si>
  <si>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</si>
  <si>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</si>
  <si>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</si>
  <si>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</si>
  <si>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</si>
  <si>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</si>
  <si>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</si>
  <si>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</si>
  <si>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</si>
  <si>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</si>
  <si>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</si>
  <si>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</si>
  <si>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</si>
  <si>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</si>
  <si>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</si>
  <si>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</si>
  <si>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</si>
  <si>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</si>
  <si>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</si>
  <si>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</si>
  <si>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</si>
  <si>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</si>
  <si>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</si>
  <si>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</si>
  <si>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</si>
  <si>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</si>
  <si>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</si>
  <si>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</si>
  <si>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</si>
  <si>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</si>
  <si>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</si>
  <si>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</si>
  <si>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</si>
  <si>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</si>
  <si>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</si>
  <si>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</si>
  <si>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</si>
  <si>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</si>
  <si>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</si>
  <si>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</si>
  <si>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</si>
  <si>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</si>
  <si>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</si>
  <si>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</si>
  <si>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</si>
  <si>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</si>
  <si>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</si>
  <si>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</si>
  <si>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</si>
  <si>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</si>
  <si>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</si>
  <si>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</si>
  <si>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</si>
  <si>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</si>
  <si>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</si>
  <si>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</si>
  <si>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</si>
  <si>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</si>
  <si>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</si>
  <si>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</si>
  <si>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</si>
  <si>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</si>
  <si>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</si>
  <si>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</si>
  <si>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</si>
  <si>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</si>
  <si>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</si>
  <si>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</si>
  <si>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</si>
  <si>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</si>
  <si>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</si>
  <si>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</si>
  <si>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</si>
  <si>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</si>
  <si>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</si>
  <si>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</si>
  <si>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</si>
  <si>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</si>
  <si>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</si>
  <si>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</si>
  <si>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</si>
  <si>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</si>
  <si>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</si>
  <si>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</si>
  <si>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</si>
  <si>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</si>
  <si>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</si>
  <si>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</si>
  <si>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</si>
  <si>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</si>
  <si>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</si>
  <si>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</si>
  <si>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</si>
  <si>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</si>
  <si>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</si>
  <si>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</si>
  <si>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</si>
  <si>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</si>
  <si>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</si>
  <si>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</si>
  <si>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</si>
  <si>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</si>
  <si>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</si>
  <si>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</si>
  <si>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</si>
  <si>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</si>
  <si>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</si>
  <si>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</si>
  <si>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</si>
  <si>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</si>
  <si>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</si>
  <si>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</si>
  <si>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</si>
  <si>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</si>
  <si>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</si>
  <si>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</si>
  <si>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</si>
  <si>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</si>
  <si>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</si>
  <si>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</si>
  <si>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</si>
  <si>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</si>
  <si>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</si>
  <si>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</si>
  <si>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</si>
  <si>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</si>
  <si>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</si>
  <si>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</si>
  <si>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</si>
  <si>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</si>
  <si>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</si>
  <si>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</si>
  <si>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</si>
  <si>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</si>
  <si>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</si>
  <si>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</si>
  <si>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</si>
  <si>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</si>
  <si>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</si>
  <si>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</si>
  <si>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</si>
  <si>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</si>
  <si>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</si>
  <si>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</si>
  <si>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</si>
  <si>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</si>
  <si>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</si>
  <si>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</si>
  <si>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</si>
  <si>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</si>
  <si>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</si>
  <si>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</si>
  <si>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</si>
  <si>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</si>
  <si>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</si>
  <si>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</si>
  <si>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</si>
  <si>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</si>
  <si>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</si>
  <si>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</si>
  <si>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</si>
  <si>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</si>
  <si>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</si>
  <si>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</si>
  <si>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</si>
  <si>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</si>
  <si>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</si>
  <si>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</si>
  <si>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</si>
  <si>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</si>
  <si>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</si>
  <si>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</si>
  <si>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</si>
  <si>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</si>
  <si>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</si>
  <si>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</si>
  <si>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</si>
  <si>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</si>
  <si>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</si>
  <si>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</si>
  <si>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</si>
  <si>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</si>
  <si>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</si>
  <si>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</si>
  <si>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</si>
  <si>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</si>
  <si>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</si>
  <si>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</si>
  <si>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</si>
  <si>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</si>
  <si>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</si>
  <si>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</si>
  <si>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</si>
  <si>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</si>
  <si>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</si>
  <si>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</si>
  <si>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</si>
  <si>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</si>
  <si>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</si>
  <si>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</si>
  <si>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</si>
  <si>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</si>
  <si>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</si>
  <si>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</si>
  <si>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</si>
  <si>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</si>
  <si>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</si>
  <si>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</si>
  <si>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</si>
  <si>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</si>
  <si>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</si>
  <si>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</si>
  <si>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</si>
  <si>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</si>
  <si>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</si>
  <si>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</si>
  <si>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</si>
  <si>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</si>
  <si>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</si>
  <si>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</si>
  <si>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</si>
  <si>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</si>
  <si>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</si>
  <si>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</si>
  <si>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</si>
  <si>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</si>
  <si>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</si>
  <si>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</si>
  <si>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</si>
  <si>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</si>
  <si>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</si>
  <si>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</si>
  <si>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</si>
  <si>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</si>
  <si>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</si>
  <si>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</si>
  <si>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</si>
  <si>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</si>
  <si>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</si>
  <si>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</si>
  <si>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</si>
  <si>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</si>
  <si>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</si>
  <si>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</si>
  <si>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</si>
  <si>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</si>
  <si>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</si>
  <si>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</si>
  <si>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</si>
  <si>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</si>
  <si>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</si>
  <si>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</si>
  <si>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</si>
  <si>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</si>
  <si>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</si>
  <si>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</si>
  <si>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</si>
  <si>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</si>
  <si>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</si>
  <si>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</si>
  <si>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</si>
  <si>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</si>
  <si>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</si>
  <si>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</si>
  <si>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</si>
  <si>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</si>
  <si>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</si>
  <si>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</si>
  <si>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</si>
  <si>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</si>
  <si>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</si>
  <si>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</si>
  <si>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</si>
  <si>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</si>
  <si>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</si>
  <si>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</si>
  <si>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</si>
  <si>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</si>
  <si>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</si>
  <si>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</si>
  <si>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</si>
  <si>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</si>
  <si>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</si>
  <si>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</si>
  <si>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</si>
  <si>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</si>
  <si>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</si>
  <si>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</si>
  <si>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</si>
  <si>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</si>
  <si>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</si>
  <si>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</si>
  <si>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</si>
  <si>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</si>
  <si>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</si>
  <si>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</si>
  <si>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</si>
  <si>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</si>
  <si>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</si>
  <si>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</si>
  <si>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</si>
  <si>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</si>
  <si>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</si>
  <si>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</si>
  <si>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</si>
  <si>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</si>
  <si>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</si>
  <si>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</si>
  <si>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</si>
  <si>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</si>
  <si>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</si>
  <si>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</si>
  <si>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</si>
  <si>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</si>
  <si>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</si>
  <si>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</si>
  <si>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</si>
  <si>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</si>
  <si>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</si>
  <si>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</si>
  <si>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</si>
  <si>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</si>
  <si>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</si>
  <si>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</si>
  <si>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</si>
  <si>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</si>
  <si>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</si>
  <si>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</si>
  <si>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</si>
  <si>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</si>
  <si>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</si>
  <si>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</si>
  <si>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</si>
  <si>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</si>
  <si>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</si>
  <si>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</si>
  <si>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</si>
  <si>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</si>
  <si>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</si>
  <si>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</si>
  <si>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</si>
  <si>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</si>
  <si>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</si>
  <si>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</si>
  <si>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</si>
  <si>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</si>
  <si>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</si>
  <si>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</si>
  <si>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</si>
  <si>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</si>
  <si>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</si>
  <si>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</si>
  <si>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</si>
  <si>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</si>
  <si>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</si>
  <si>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</si>
  <si>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</si>
  <si>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</si>
  <si>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</si>
  <si>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</si>
  <si>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</si>
  <si>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</si>
  <si>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</si>
  <si>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</si>
  <si>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</si>
  <si>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</si>
  <si>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</si>
  <si>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</si>
  <si>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</si>
  <si>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</si>
  <si>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</si>
  <si>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</si>
  <si>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</si>
  <si>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</si>
  <si>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</si>
  <si>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</si>
  <si>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</si>
  <si>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</si>
  <si>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</si>
  <si>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</si>
  <si>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</si>
  <si>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</si>
  <si>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</si>
  <si>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</si>
  <si>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</si>
  <si>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</si>
  <si>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</si>
  <si>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</si>
  <si>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</si>
  <si>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</si>
  <si>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</si>
  <si>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</si>
  <si>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</si>
  <si>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</si>
  <si>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</si>
  <si>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</si>
  <si>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</si>
  <si>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</si>
  <si>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</si>
  <si>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</si>
  <si>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</si>
  <si>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</si>
  <si>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</si>
  <si>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</si>
  <si>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</si>
  <si>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</si>
  <si>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</si>
  <si>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</si>
  <si>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</si>
  <si>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</si>
  <si>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</si>
  <si>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</si>
  <si>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</si>
  <si>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</si>
  <si>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</si>
  <si>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</si>
  <si>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</si>
  <si>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</si>
  <si>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</si>
  <si>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</si>
  <si>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</si>
  <si>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</si>
  <si>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</si>
  <si>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</si>
  <si>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</si>
  <si>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</si>
  <si>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</si>
  <si>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</si>
  <si>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</si>
  <si>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</si>
  <si>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</si>
  <si>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</si>
  <si>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</si>
  <si>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</si>
  <si>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</si>
  <si>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</si>
  <si>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</si>
  <si>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</si>
  <si>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</si>
  <si>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</si>
  <si>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</si>
  <si>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</si>
  <si>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</si>
  <si>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</si>
  <si>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</si>
  <si>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</si>
  <si>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</si>
  <si>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</si>
  <si>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</si>
  <si>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</si>
  <si>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</si>
  <si>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</si>
  <si>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</si>
  <si>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</si>
  <si>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</si>
  <si>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</si>
  <si>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</si>
  <si>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</si>
  <si>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</si>
  <si>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</si>
  <si>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</si>
  <si>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</si>
  <si>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</si>
  <si>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</si>
  <si>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</si>
  <si>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</si>
  <si>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</si>
  <si>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</si>
  <si>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</si>
  <si>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</si>
  <si>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</si>
  <si>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</si>
  <si>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</si>
  <si>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</si>
  <si>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</si>
  <si>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</si>
  <si>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</si>
  <si>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</si>
  <si>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</si>
  <si>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</si>
  <si>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</si>
  <si>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</si>
  <si>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</si>
  <si>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</si>
  <si>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</si>
  <si>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</si>
  <si>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</si>
  <si>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</si>
  <si>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</si>
  <si>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</si>
  <si>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</si>
  <si>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</si>
  <si>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</si>
  <si>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</si>
  <si>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</si>
  <si>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</si>
  <si>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</si>
  <si>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</si>
  <si>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</si>
  <si>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</si>
  <si>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</si>
  <si>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</si>
  <si>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</si>
  <si>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</si>
  <si>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</si>
  <si>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</si>
  <si>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</si>
  <si>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</si>
  <si>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</si>
  <si>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</si>
  <si>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</si>
  <si>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</si>
  <si>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</si>
  <si>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</si>
  <si>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</si>
  <si>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</si>
  <si>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</si>
  <si>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</si>
  <si>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</si>
  <si>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</si>
  <si>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</si>
  <si>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</si>
  <si>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</si>
  <si>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</si>
  <si>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</si>
  <si>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</si>
  <si>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</si>
  <si>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</si>
  <si>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</si>
  <si>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</si>
  <si>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</si>
  <si>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</si>
  <si>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</si>
  <si>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</si>
  <si>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</si>
  <si>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</si>
  <si>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</si>
  <si>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</si>
  <si>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</si>
  <si>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</si>
  <si>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</si>
  <si>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</si>
  <si>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</si>
  <si>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</si>
  <si>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</si>
  <si>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</si>
  <si>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</si>
  <si>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</si>
  <si>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</si>
  <si>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</si>
  <si>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</si>
  <si>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</si>
  <si>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</si>
  <si>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</si>
  <si>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</si>
  <si>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</si>
  <si>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</si>
  <si>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</si>
  <si>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</si>
  <si>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</si>
  <si>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</si>
  <si>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</si>
  <si>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</si>
  <si>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</si>
  <si>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</si>
  <si>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</si>
  <si>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</si>
  <si>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</si>
  <si>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</si>
  <si>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</si>
  <si>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</si>
  <si>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</si>
  <si>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</si>
  <si>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</si>
  <si>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</si>
  <si>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</si>
  <si>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</si>
  <si>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</si>
  <si>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</si>
  <si>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</si>
  <si>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</si>
  <si>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</si>
  <si>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</si>
  <si>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</si>
  <si>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</si>
  <si>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</si>
  <si>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</si>
  <si>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</si>
  <si>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</si>
  <si>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</si>
  <si>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</si>
  <si>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</si>
  <si>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</si>
  <si>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</si>
  <si>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</si>
  <si>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</si>
  <si>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</si>
  <si>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</si>
  <si>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</si>
  <si>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</si>
  <si>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</si>
  <si>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</si>
  <si>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</si>
  <si>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</si>
  <si>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</si>
  <si>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</si>
  <si>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</si>
  <si>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</si>
  <si>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</si>
  <si>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</si>
  <si>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</si>
  <si>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</si>
  <si>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</si>
  <si>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</si>
  <si>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</si>
  <si>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</si>
  <si>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</si>
  <si>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</si>
  <si>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</si>
  <si>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</si>
  <si>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</si>
  <si>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</si>
  <si>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</si>
  <si>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</si>
  <si>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</si>
  <si>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</si>
  <si>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</si>
  <si>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</si>
  <si>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</si>
  <si>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</si>
  <si>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</si>
  <si>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</si>
  <si>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</si>
  <si>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</si>
  <si>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</si>
  <si>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</si>
  <si>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</si>
  <si>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</si>
  <si>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</si>
  <si>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</si>
  <si>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</si>
  <si>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</si>
  <si>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</si>
  <si>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</si>
  <si>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</si>
  <si>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</si>
  <si>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</si>
  <si>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</si>
  <si>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</si>
  <si>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</si>
  <si>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</si>
  <si>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</si>
  <si>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</si>
  <si>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</si>
  <si>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</si>
  <si>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</si>
  <si>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</si>
  <si>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</si>
  <si>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</si>
  <si>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</si>
  <si>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</si>
  <si>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</si>
  <si>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</si>
  <si>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</si>
  <si>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</si>
  <si>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</si>
  <si>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</si>
  <si>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</si>
  <si>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</si>
  <si>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</si>
  <si>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</si>
  <si>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</si>
  <si>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</si>
  <si>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</si>
  <si>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</si>
  <si>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</si>
  <si>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</si>
  <si>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</si>
  <si>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</si>
  <si>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</si>
  <si>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</si>
  <si>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</si>
  <si>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</si>
  <si>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</si>
  <si>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</si>
  <si>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</si>
  <si>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</si>
  <si>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</si>
  <si>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</si>
  <si>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</si>
  <si>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</si>
  <si>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</si>
  <si>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</si>
  <si>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</si>
  <si>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</si>
  <si>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</si>
  <si>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</si>
  <si>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</si>
  <si>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</si>
  <si>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</si>
  <si>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</si>
  <si>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</si>
  <si>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</si>
  <si>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</si>
  <si>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</si>
  <si>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</si>
  <si>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</si>
  <si>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</si>
  <si>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</si>
  <si>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</si>
  <si>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</si>
  <si>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</si>
  <si>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</si>
  <si>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</si>
  <si>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</si>
  <si>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</si>
  <si>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</si>
  <si>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</si>
  <si>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</si>
  <si>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</si>
  <si>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</si>
  <si>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</si>
  <si>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</si>
  <si>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</si>
  <si>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</si>
  <si>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</si>
  <si>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</si>
  <si>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</si>
  <si>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</si>
  <si>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</si>
  <si>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</si>
  <si>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</si>
  <si>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</si>
  <si>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</si>
  <si>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</si>
  <si>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</si>
  <si>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</si>
  <si>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</si>
  <si>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</si>
  <si>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</si>
  <si>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</si>
  <si>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</si>
  <si>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</si>
  <si>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</si>
  <si>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</si>
  <si>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</si>
  <si>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</si>
  <si>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</si>
  <si>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</si>
  <si>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</si>
  <si>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</si>
  <si>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</si>
  <si>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</si>
  <si>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</si>
  <si>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</si>
  <si>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</si>
  <si>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</si>
  <si>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</si>
  <si>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</si>
  <si>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</si>
  <si>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</si>
  <si>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</si>
  <si>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</si>
  <si>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</si>
  <si>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</si>
  <si>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</si>
  <si>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</si>
  <si>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</si>
  <si>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</si>
  <si>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</si>
  <si>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</si>
  <si>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</si>
  <si>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</si>
  <si>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</si>
  <si>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</si>
  <si>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</si>
  <si>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</si>
  <si>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</si>
  <si>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</si>
  <si>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</si>
  <si>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</si>
  <si>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</si>
  <si>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</si>
  <si>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</si>
  <si>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</si>
  <si>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</si>
  <si>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</si>
  <si>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</si>
  <si>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</si>
  <si>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</si>
  <si>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</si>
  <si>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</si>
  <si>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</si>
  <si>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</si>
  <si>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</si>
  <si>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</si>
  <si>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</si>
  <si>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</si>
  <si>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</si>
  <si>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</si>
  <si>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</si>
  <si>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</si>
  <si>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</si>
  <si>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</si>
  <si>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</si>
  <si>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</si>
  <si>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</si>
  <si>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</si>
  <si>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</si>
  <si>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</si>
  <si>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</si>
  <si>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</si>
  <si>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</si>
  <si>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</si>
  <si>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</si>
  <si>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</si>
  <si>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</si>
  <si>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</si>
  <si>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</si>
  <si>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</si>
  <si>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</si>
  <si>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</si>
  <si>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</si>
  <si>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</si>
  <si>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</si>
  <si>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</si>
  <si>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</si>
  <si>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</si>
  <si>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</si>
  <si>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</si>
  <si>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</si>
  <si>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</si>
  <si>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</si>
  <si>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</si>
  <si>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</si>
  <si>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</si>
  <si>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</si>
  <si>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</si>
  <si>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</si>
  <si>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</si>
  <si>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</si>
  <si>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</si>
  <si>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</si>
  <si>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</si>
  <si>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</si>
  <si>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</si>
  <si>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</si>
  <si>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</si>
  <si>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</si>
  <si>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</si>
  <si>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</si>
  <si>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</si>
  <si>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</si>
  <si>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</si>
  <si>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</si>
  <si>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</si>
  <si>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</si>
  <si>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</si>
  <si>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</si>
  <si>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</si>
  <si>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</si>
  <si>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</si>
  <si>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</si>
  <si>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</si>
  <si>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</si>
  <si>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</si>
  <si>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</si>
  <si>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</si>
  <si>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</si>
  <si>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</si>
  <si>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</si>
  <si>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</si>
  <si>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</si>
  <si>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</si>
  <si>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</si>
  <si>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</si>
  <si>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</si>
  <si>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</si>
  <si>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</si>
  <si>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</si>
  <si>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</si>
  <si>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</si>
  <si>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</si>
  <si>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</si>
  <si>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</si>
  <si>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</si>
  <si>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</si>
  <si>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</si>
  <si>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</si>
  <si>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</si>
  <si>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</si>
  <si>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</si>
  <si>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</si>
  <si>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</si>
  <si>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</si>
  <si>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</si>
  <si>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</si>
  <si>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</si>
  <si>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</si>
  <si>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</si>
  <si>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</si>
  <si>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</si>
  <si>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</si>
  <si>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</si>
  <si>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</si>
  <si>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</si>
  <si>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</si>
  <si>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</si>
  <si>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</si>
  <si>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</si>
  <si>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</si>
  <si>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</si>
  <si>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</si>
  <si>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</si>
  <si>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</si>
  <si>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</si>
  <si>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</si>
  <si>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</si>
  <si>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</si>
  <si>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</si>
  <si>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</si>
  <si>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</si>
  <si>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</si>
  <si>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</si>
  <si>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</si>
  <si>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</si>
  <si>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</si>
  <si>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</si>
  <si>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</si>
  <si>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</si>
  <si>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</si>
  <si>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</si>
  <si>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</si>
  <si>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</si>
  <si>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</si>
  <si>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</si>
  <si>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</si>
  <si>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</si>
  <si>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</si>
  <si>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</si>
  <si>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</si>
  <si>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</si>
  <si>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</si>
  <si>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</si>
  <si>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</si>
  <si>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</si>
  <si>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</si>
  <si>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</si>
  <si>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</si>
  <si>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</si>
  <si>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</si>
  <si>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</si>
  <si>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</si>
  <si>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</si>
  <si>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</si>
  <si>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</si>
  <si>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</si>
  <si>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</si>
  <si>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</si>
  <si>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</si>
  <si>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</si>
  <si>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</si>
  <si>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</si>
  <si>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</si>
  <si>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</si>
  <si>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</si>
  <si>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</si>
  <si>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</si>
  <si>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</si>
  <si>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</si>
  <si>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</si>
  <si>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</si>
  <si>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</si>
  <si>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</si>
  <si>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</si>
  <si>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</si>
  <si>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</si>
  <si>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</si>
  <si>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</si>
  <si>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</si>
  <si>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</si>
  <si>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</si>
  <si>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</si>
  <si>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</si>
  <si>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</si>
  <si>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</si>
  <si>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</si>
  <si>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</si>
  <si>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</si>
  <si>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</si>
  <si>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</si>
  <si>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</si>
  <si>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</si>
  <si>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</si>
  <si>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</si>
  <si>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</si>
  <si>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</si>
  <si>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</si>
  <si>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</si>
  <si>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</si>
  <si>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</si>
  <si>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</si>
  <si>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</si>
  <si>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</si>
  <si>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</si>
  <si>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</si>
  <si>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</si>
  <si>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</si>
  <si>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</si>
  <si>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</si>
  <si>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</si>
  <si>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</si>
  <si>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</si>
  <si>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</si>
  <si>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</si>
  <si>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</si>
  <si>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</si>
  <si>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</si>
  <si>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</si>
  <si>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</si>
  <si>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</si>
  <si>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</si>
  <si>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</si>
  <si>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</si>
  <si>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</si>
  <si>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</si>
  <si>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</si>
  <si>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</si>
  <si>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</si>
  <si>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</si>
  <si>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</si>
  <si>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</si>
  <si>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</si>
  <si>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</si>
  <si>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</si>
  <si>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</si>
  <si>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</si>
  <si>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</si>
  <si>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</si>
  <si>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</si>
  <si>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</si>
  <si>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</si>
  <si>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</si>
  <si>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</si>
  <si>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</si>
  <si>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</si>
  <si>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</si>
  <si>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</si>
  <si>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</si>
  <si>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</si>
  <si>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</si>
  <si>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</si>
  <si>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</si>
  <si>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</si>
  <si>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</si>
  <si>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</si>
  <si>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</si>
  <si>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</si>
  <si>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</si>
  <si>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</si>
  <si>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</si>
  <si>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</si>
  <si>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</si>
  <si>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</si>
  <si>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</si>
  <si>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</si>
  <si>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</si>
  <si>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</si>
  <si>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</si>
  <si>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</si>
  <si>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</si>
  <si>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</si>
  <si>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</si>
  <si>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</si>
  <si>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</si>
  <si>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</si>
  <si>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</si>
  <si>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</si>
  <si>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</si>
  <si>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</si>
  <si>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</si>
  <si>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</si>
  <si>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</si>
  <si>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</si>
  <si>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</si>
  <si>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</si>
  <si>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</si>
  <si>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</si>
  <si>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</si>
  <si>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</si>
  <si>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</si>
  <si>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</si>
  <si>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</si>
  <si>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</si>
  <si>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</si>
  <si>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</si>
  <si>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</si>
  <si>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</si>
  <si>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</si>
  <si>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</si>
  <si>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</si>
  <si>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</si>
  <si>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</si>
  <si>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</si>
  <si>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</si>
  <si>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</si>
  <si>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</si>
  <si>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</si>
  <si>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</si>
  <si>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</si>
  <si>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</si>
  <si>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</si>
  <si>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</si>
  <si>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</si>
  <si>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</si>
  <si>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</si>
  <si>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</si>
  <si>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</si>
  <si>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</si>
  <si>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</si>
  <si>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</si>
  <si>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</si>
  <si>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</si>
  <si>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</si>
  <si>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</si>
  <si>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</si>
  <si>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</si>
  <si>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</si>
  <si>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</si>
  <si>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</si>
  <si>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</si>
  <si>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</si>
  <si>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</si>
  <si>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</si>
  <si>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</si>
  <si>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</si>
  <si>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</si>
  <si>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</si>
  <si>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</si>
  <si>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</si>
  <si>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</si>
  <si>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</si>
  <si>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</si>
  <si>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</si>
  <si>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</si>
  <si>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</si>
  <si>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</si>
  <si>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</si>
  <si>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</si>
  <si>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</si>
  <si>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</si>
  <si>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</si>
  <si>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</si>
  <si>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</si>
  <si>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</si>
  <si>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</si>
  <si>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</si>
  <si>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</si>
  <si>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</si>
  <si>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</si>
  <si>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</si>
  <si>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</si>
  <si>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</si>
  <si>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</si>
  <si>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</si>
  <si>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</si>
  <si>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</si>
  <si>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</si>
  <si>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</si>
  <si>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</si>
  <si>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</si>
  <si>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</si>
  <si>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</si>
  <si>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</si>
  <si>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</si>
  <si>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</si>
  <si>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</si>
  <si>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</si>
  <si>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</si>
  <si>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</si>
  <si>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</si>
  <si>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</si>
  <si>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</si>
  <si>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</si>
  <si>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</si>
  <si>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</si>
  <si>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</si>
  <si>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</si>
  <si>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</si>
  <si>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</si>
  <si>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</si>
  <si>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</si>
  <si>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</si>
  <si>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</si>
  <si>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</si>
  <si>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</si>
  <si>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</si>
  <si>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</si>
  <si>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</si>
  <si>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</si>
  <si>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</si>
  <si>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</si>
  <si>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</si>
  <si>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</si>
  <si>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</si>
  <si>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</si>
  <si>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</si>
  <si>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</si>
  <si>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</si>
  <si>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</si>
  <si>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</si>
  <si>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</si>
  <si>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</si>
  <si>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</si>
  <si>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</si>
  <si>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</si>
  <si>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</si>
  <si>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</si>
  <si>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</si>
  <si>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</si>
  <si>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</si>
  <si>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</si>
  <si>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</si>
  <si>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</si>
  <si>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</si>
  <si>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</si>
  <si>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</si>
  <si>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</si>
  <si>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</si>
  <si>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</si>
  <si>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</si>
  <si>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</si>
  <si>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</si>
  <si>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</si>
  <si>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</si>
  <si>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</si>
  <si>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</si>
  <si>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</si>
  <si>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</si>
  <si>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</si>
  <si>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</si>
  <si>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</si>
  <si>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</si>
  <si>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</si>
  <si>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</si>
  <si>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</si>
  <si>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</si>
  <si>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</si>
  <si>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</si>
  <si>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</si>
  <si>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</si>
  <si>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</si>
  <si>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</si>
  <si>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</si>
  <si>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</si>
  <si>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</si>
  <si>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</si>
  <si>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</si>
  <si>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</si>
  <si>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</si>
  <si>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</si>
  <si>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</si>
  <si>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</si>
  <si>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</si>
  <si>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</si>
  <si>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</si>
  <si>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</si>
  <si>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</si>
  <si>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</si>
  <si>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</si>
  <si>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</si>
  <si>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</si>
  <si>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</si>
  <si>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</si>
  <si>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</si>
  <si>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</si>
  <si>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</si>
  <si>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</si>
  <si>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</si>
  <si>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</si>
  <si>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</si>
  <si>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</si>
  <si>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</si>
  <si>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</si>
  <si>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</si>
  <si>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</si>
  <si>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</si>
  <si>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</si>
  <si>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</si>
  <si>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</si>
  <si>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</si>
  <si>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</si>
  <si>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</si>
  <si>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</si>
  <si>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</si>
  <si>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</si>
  <si>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</si>
  <si>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</si>
  <si>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</si>
  <si>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</si>
  <si>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</si>
  <si>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</si>
  <si>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</si>
  <si>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</si>
  <si>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</si>
  <si>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</si>
  <si>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</si>
  <si>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</si>
  <si>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</si>
  <si>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</si>
  <si>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</si>
  <si>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</si>
  <si>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</si>
  <si>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</si>
  <si>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</si>
  <si>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</si>
  <si>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</si>
  <si>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</si>
  <si>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</si>
  <si>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</si>
  <si>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</si>
  <si>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</si>
  <si>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</si>
  <si>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</si>
  <si>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</si>
  <si>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</si>
  <si>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</si>
  <si>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</si>
  <si>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</si>
  <si>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</si>
  <si>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</si>
  <si>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</si>
  <si>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</si>
  <si>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</si>
  <si>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</si>
  <si>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</si>
  <si>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</si>
  <si>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</si>
  <si>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</si>
  <si>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</si>
  <si>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</si>
  <si>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</si>
  <si>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</si>
  <si>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</si>
  <si>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</si>
  <si>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</si>
  <si>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</si>
  <si>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</si>
  <si>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</si>
  <si>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</si>
  <si>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</si>
  <si>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</si>
  <si>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</si>
  <si>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</si>
  <si>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</si>
  <si>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</si>
  <si>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</si>
  <si>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</si>
  <si>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</si>
  <si>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</si>
  <si>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</si>
  <si>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</si>
  <si>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</si>
  <si>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</si>
  <si>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</si>
  <si>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</si>
  <si>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</si>
  <si>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</si>
  <si>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</si>
  <si>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</si>
  <si>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</si>
  <si>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</si>
  <si>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</si>
  <si>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</si>
  <si>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</si>
  <si>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</si>
  <si>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</si>
  <si>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</si>
  <si>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</si>
  <si>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</si>
  <si>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</si>
  <si>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</si>
  <si>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</si>
  <si>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</si>
  <si>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</si>
  <si>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</si>
  <si>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</si>
  <si>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</si>
  <si>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</si>
  <si>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</si>
  <si>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</si>
  <si>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</si>
  <si>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</si>
  <si>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</si>
  <si>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</si>
  <si>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</si>
  <si>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</si>
  <si>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</si>
  <si>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</si>
  <si>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</si>
  <si>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</si>
  <si>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</si>
  <si>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</si>
  <si>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</si>
  <si>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</si>
  <si>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</si>
  <si>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</si>
  <si>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</si>
  <si>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</si>
  <si>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</si>
  <si>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</si>
  <si>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</si>
  <si>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</si>
  <si>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</si>
  <si>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</si>
  <si>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</si>
  <si>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</si>
  <si>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</si>
  <si>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</si>
  <si>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</si>
  <si>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</si>
  <si>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</si>
  <si>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</si>
  <si>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</si>
  <si>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</si>
  <si>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</si>
  <si>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</si>
  <si>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</si>
  <si>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</si>
  <si>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</si>
  <si>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</si>
  <si>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</si>
  <si>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</si>
  <si>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</si>
  <si>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</si>
  <si>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</si>
  <si>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</si>
  <si>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</si>
  <si>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</si>
  <si>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</si>
  <si>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</si>
  <si>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</si>
  <si>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</si>
  <si>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</si>
  <si>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</si>
  <si>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</si>
  <si>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</si>
  <si>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</si>
  <si>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</si>
  <si>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</si>
  <si>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</si>
  <si>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</si>
  <si>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</si>
  <si>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</si>
  <si>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</si>
  <si>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</si>
  <si>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</si>
  <si>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</si>
  <si>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</si>
  <si>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</si>
  <si>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</si>
  <si>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</si>
  <si>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</si>
  <si>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</si>
  <si>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</si>
  <si>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</si>
  <si>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</si>
  <si>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</si>
  <si>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</si>
  <si>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</si>
  <si>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</si>
  <si>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</si>
  <si>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</si>
  <si>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</si>
  <si>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</si>
  <si>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</si>
  <si>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</si>
  <si>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</si>
  <si>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</si>
  <si>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</si>
  <si>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</si>
  <si>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</si>
  <si>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</si>
  <si>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</si>
  <si>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</si>
  <si>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</si>
  <si>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</si>
  <si>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</si>
  <si>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</si>
  <si>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</si>
  <si>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</si>
  <si>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</si>
  <si>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</si>
  <si>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</si>
  <si>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</si>
  <si>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</si>
  <si>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</si>
  <si>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</si>
  <si>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</si>
  <si>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</si>
  <si>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</si>
  <si>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</si>
  <si>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</si>
  <si>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</si>
  <si>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</si>
  <si>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</si>
  <si>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</si>
  <si>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</si>
  <si>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</si>
  <si>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</si>
  <si>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</si>
  <si>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</si>
  <si>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</si>
  <si>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</si>
  <si>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</si>
  <si>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</si>
  <si>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</si>
  <si>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</si>
  <si>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</si>
  <si>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</si>
  <si>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</si>
  <si>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</si>
  <si>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</si>
  <si>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</si>
  <si>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</si>
  <si>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</si>
  <si>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</si>
  <si>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</si>
  <si>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</si>
  <si>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</si>
  <si>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</si>
  <si>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</si>
  <si>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</si>
  <si>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</si>
  <si>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</si>
  <si>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</si>
  <si>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</si>
  <si>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</si>
  <si>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</si>
  <si>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</si>
  <si>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</si>
  <si>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</si>
  <si>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</si>
  <si>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</si>
  <si>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</si>
  <si>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</si>
  <si>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</si>
  <si>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</si>
  <si>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</si>
  <si>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</si>
  <si>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</si>
  <si>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</si>
  <si>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</si>
  <si>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</si>
  <si>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</si>
  <si>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</si>
  <si>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</si>
  <si>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</si>
  <si>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</si>
  <si>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</si>
  <si>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</si>
  <si>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</si>
  <si>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</si>
  <si>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</si>
  <si>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</si>
  <si>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</si>
  <si>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</si>
  <si>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</si>
  <si>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</si>
  <si>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</si>
  <si>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</si>
  <si>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</si>
  <si>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</si>
  <si>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</si>
  <si>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</si>
  <si>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</si>
  <si>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</si>
  <si>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</si>
  <si>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</si>
  <si>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</si>
  <si>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</si>
  <si>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</si>
  <si>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</si>
  <si>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</si>
  <si>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</si>
  <si>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</si>
  <si>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</si>
  <si>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</si>
  <si>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</si>
  <si>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</si>
  <si>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</si>
  <si>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</si>
  <si>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</si>
  <si>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</si>
  <si>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</si>
  <si>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</si>
  <si>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</si>
  <si>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</si>
  <si>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</si>
  <si>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</si>
  <si>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</si>
  <si>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</si>
  <si>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</si>
  <si>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</si>
  <si>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</si>
  <si>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</si>
  <si>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</si>
  <si>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</si>
  <si>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</si>
  <si>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</si>
  <si>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</si>
  <si>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</si>
  <si>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</si>
  <si>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</si>
  <si>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</si>
  <si>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</si>
  <si>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</si>
  <si>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</si>
  <si>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</si>
  <si>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</si>
  <si>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</si>
  <si>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</si>
  <si>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</si>
  <si>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</si>
  <si>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</si>
  <si>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</si>
  <si>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</si>
  <si>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</si>
  <si>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</si>
  <si>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</si>
  <si>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</si>
  <si>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</si>
  <si>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</si>
  <si>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</si>
  <si>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</si>
  <si>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</si>
  <si>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</si>
  <si>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</si>
  <si>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</si>
  <si>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</si>
  <si>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</si>
  <si>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</si>
  <si>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</si>
  <si>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</si>
  <si>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</si>
  <si>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</si>
  <si>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</si>
  <si>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</si>
  <si>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</si>
  <si>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</si>
  <si>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</si>
  <si>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</si>
  <si>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</si>
  <si>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</si>
  <si>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</si>
  <si>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</si>
  <si>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</si>
  <si>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</si>
  <si>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</si>
  <si>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</si>
  <si>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</si>
  <si>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</si>
  <si>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</si>
  <si>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</si>
  <si>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</si>
  <si>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</si>
  <si>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</si>
  <si>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</si>
  <si>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</si>
  <si>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</si>
  <si>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</si>
  <si>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</si>
  <si>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</si>
  <si>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</si>
  <si>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</si>
  <si>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</si>
  <si>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</si>
  <si>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</si>
  <si>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</si>
  <si>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</si>
  <si>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</si>
  <si>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</si>
  <si>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</si>
  <si>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</si>
  <si>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</si>
  <si>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</si>
  <si>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</si>
  <si>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</si>
  <si>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</si>
  <si>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</si>
  <si>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</si>
  <si>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</si>
  <si>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</si>
  <si>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</si>
  <si>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</si>
  <si>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</si>
  <si>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</si>
  <si>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</si>
  <si>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</si>
  <si>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</si>
  <si>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</si>
  <si>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</si>
  <si>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</si>
  <si>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</si>
  <si>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</si>
  <si>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</si>
  <si>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</si>
  <si>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</si>
  <si>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</si>
  <si>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</si>
  <si>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</si>
  <si>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</si>
  <si>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</si>
  <si>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</si>
  <si>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</si>
  <si>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</si>
  <si>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</si>
  <si>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</si>
  <si>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</si>
  <si>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</si>
  <si>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</si>
  <si>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</si>
  <si>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</si>
  <si>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</si>
  <si>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</si>
  <si>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</si>
  <si>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</si>
  <si>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</si>
  <si>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</si>
  <si>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</si>
  <si>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</si>
  <si>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</si>
  <si>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</si>
  <si>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</si>
  <si>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</si>
  <si>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</si>
  <si>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</si>
  <si>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</si>
  <si>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</si>
  <si>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</si>
  <si>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</si>
  <si>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</si>
  <si>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</si>
  <si>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</si>
  <si>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</si>
  <si>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</si>
  <si>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</si>
  <si>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</si>
  <si>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</si>
  <si>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</si>
  <si>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</si>
  <si>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</si>
  <si>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</si>
  <si>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</si>
  <si>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</si>
  <si>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</si>
  <si>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</si>
  <si>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</si>
  <si>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</si>
  <si>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</si>
  <si>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</si>
  <si>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</si>
  <si>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</si>
  <si>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</si>
  <si>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</si>
  <si>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</si>
  <si>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</si>
  <si>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</si>
  <si>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</si>
  <si>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</si>
  <si>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</si>
  <si>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</si>
  <si>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</si>
  <si>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</si>
  <si>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</si>
  <si>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</si>
  <si>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</si>
  <si>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</si>
  <si>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</si>
  <si>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</si>
  <si>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</si>
  <si>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</si>
  <si>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</si>
  <si>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</si>
  <si>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</si>
  <si>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</si>
  <si>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</si>
  <si>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</si>
  <si>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</si>
  <si>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</si>
  <si>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</si>
  <si>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</si>
  <si>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</si>
  <si>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</si>
  <si>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</si>
  <si>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</si>
  <si>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</si>
  <si>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</si>
  <si>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</si>
  <si>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</si>
  <si>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</si>
  <si>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</si>
  <si>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</si>
  <si>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</si>
  <si>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</si>
  <si>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</si>
  <si>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</si>
  <si>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</si>
  <si>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</si>
  <si>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</si>
  <si>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</si>
  <si>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</si>
  <si>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</si>
  <si>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</si>
  <si>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</si>
  <si>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</si>
  <si>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</si>
  <si>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</si>
  <si>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</si>
  <si>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</si>
  <si>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</si>
  <si>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</si>
  <si>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</si>
  <si>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</si>
  <si>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</si>
  <si>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</si>
  <si>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</si>
  <si>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</si>
  <si>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</si>
  <si>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</si>
  <si>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</si>
  <si>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</si>
  <si>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</si>
  <si>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</si>
  <si>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</si>
  <si>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</si>
  <si>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</si>
  <si>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</si>
  <si>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</si>
  <si>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</si>
  <si>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</si>
  <si>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</si>
  <si>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</si>
  <si>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</si>
  <si>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</si>
  <si>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</si>
  <si>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</si>
  <si>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</si>
  <si>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</si>
  <si>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</si>
  <si>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</si>
  <si>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</si>
  <si>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</si>
  <si>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</si>
  <si>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</si>
  <si>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</si>
  <si>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</si>
  <si>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</si>
  <si>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</si>
  <si>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</si>
  <si>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</si>
  <si>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</si>
  <si>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</si>
  <si>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</si>
  <si>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</si>
  <si>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</si>
  <si>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</si>
  <si>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</si>
  <si>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</si>
  <si>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</si>
  <si>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</si>
  <si>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</si>
  <si>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</si>
  <si>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</si>
  <si>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</si>
  <si>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</si>
  <si>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</si>
  <si>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</si>
  <si>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</si>
  <si>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</si>
  <si>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</si>
  <si>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</si>
  <si>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</si>
  <si>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</si>
  <si>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</si>
  <si>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</si>
  <si>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</si>
  <si>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</si>
  <si>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</si>
  <si>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</si>
  <si>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</si>
  <si>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</si>
  <si>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</si>
  <si>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</si>
  <si>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</si>
  <si>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</si>
  <si>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</si>
  <si>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</si>
  <si>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</si>
  <si>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</si>
  <si>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</si>
  <si>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</si>
  <si>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</si>
  <si>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</si>
  <si>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</si>
  <si>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</si>
  <si>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</si>
  <si>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</si>
  <si>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</si>
  <si>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</si>
  <si>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</si>
  <si>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</si>
  <si>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</si>
  <si>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</si>
  <si>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</si>
  <si>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</si>
  <si>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</si>
  <si>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</si>
  <si>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</si>
  <si>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</si>
  <si>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</si>
  <si>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</si>
  <si>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</si>
  <si>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</si>
  <si>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</si>
  <si>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</si>
  <si>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</si>
  <si>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</si>
  <si>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</si>
  <si>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</si>
  <si>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</si>
  <si>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</si>
  <si>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</si>
  <si>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</si>
  <si>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</si>
  <si>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</si>
  <si>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</si>
  <si>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</si>
  <si>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</si>
  <si>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</si>
  <si>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</si>
  <si>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</si>
  <si>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</si>
  <si>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</si>
  <si>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</si>
  <si>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</si>
  <si>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</si>
  <si>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</si>
  <si>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</si>
  <si>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</si>
  <si>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</si>
  <si>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</si>
  <si>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</si>
  <si>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</si>
  <si>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</si>
  <si>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</si>
  <si>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</si>
  <si>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</si>
  <si>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</si>
  <si>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</si>
  <si>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</si>
  <si>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</si>
  <si>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</si>
  <si>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</si>
  <si>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</si>
  <si>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</si>
  <si>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</si>
  <si>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</si>
  <si>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</si>
  <si>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</si>
  <si>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</si>
  <si>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</si>
  <si>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</si>
  <si>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</si>
  <si>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</si>
  <si>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</si>
  <si>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</si>
  <si>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</si>
  <si>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</si>
  <si>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</si>
  <si>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</si>
  <si>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</si>
  <si>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</si>
  <si>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</si>
  <si>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</si>
  <si>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</si>
  <si>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</si>
  <si>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</si>
  <si>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</si>
  <si>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</si>
  <si>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</si>
  <si>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</si>
  <si>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</si>
  <si>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</si>
  <si>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</si>
  <si>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</si>
  <si>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</si>
  <si>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</si>
  <si>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</si>
  <si>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</si>
  <si>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</si>
  <si>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</si>
  <si>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</si>
  <si>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</si>
  <si>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</si>
  <si>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</si>
  <si>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</si>
  <si>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</si>
  <si>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</si>
  <si>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</si>
  <si>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</si>
  <si>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</si>
  <si>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</si>
  <si>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</si>
  <si>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</si>
  <si>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</si>
  <si>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</si>
  <si>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</si>
  <si>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</si>
  <si>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</si>
  <si>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</si>
  <si>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</si>
  <si>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</si>
  <si>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</si>
  <si>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</si>
  <si>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</si>
  <si>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</si>
  <si>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</si>
  <si>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</si>
  <si>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</si>
  <si>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</si>
  <si>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</si>
  <si>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</si>
  <si>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</si>
  <si>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</si>
  <si>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</si>
  <si>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</si>
  <si>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</si>
  <si>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</si>
  <si>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</si>
  <si>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</si>
  <si>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</si>
  <si>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</si>
  <si>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</si>
  <si>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</si>
  <si>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</si>
  <si>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</si>
  <si>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</si>
  <si>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</si>
  <si>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</si>
  <si>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</si>
  <si>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</si>
  <si>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</si>
  <si>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</si>
  <si>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</si>
  <si>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</si>
  <si>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</si>
  <si>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</si>
  <si>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</si>
  <si>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</si>
  <si>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</si>
  <si>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</si>
  <si>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</si>
  <si>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</si>
  <si>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</si>
  <si>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</si>
  <si>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</si>
  <si>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</si>
  <si>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</si>
  <si>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</si>
  <si>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</si>
  <si>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</si>
  <si>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</si>
  <si>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</si>
  <si>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</si>
  <si>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</si>
  <si>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</si>
  <si>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</si>
  <si>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</si>
  <si>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</si>
  <si>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</si>
  <si>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</si>
  <si>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</si>
  <si>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</si>
  <si>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</si>
  <si>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</si>
  <si>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</si>
  <si>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</si>
  <si>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</si>
  <si>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</si>
  <si>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</si>
  <si>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</si>
  <si>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</si>
  <si>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</si>
  <si>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</si>
  <si>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</si>
  <si>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</si>
  <si>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</si>
  <si>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</si>
  <si>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</si>
  <si>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</si>
  <si>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</si>
  <si>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</si>
  <si>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</si>
  <si>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</si>
  <si>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</si>
  <si>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</si>
  <si>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</si>
  <si>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</si>
  <si>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</si>
  <si>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</si>
  <si>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</si>
  <si>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</si>
  <si>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</si>
  <si>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</si>
  <si>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</si>
  <si>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</si>
  <si>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</si>
  <si>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</si>
  <si>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</si>
  <si>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</si>
  <si>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</si>
  <si>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</si>
  <si>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</si>
  <si>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</si>
  <si>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</si>
  <si>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</si>
  <si>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</si>
  <si>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</si>
  <si>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</si>
  <si>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</si>
  <si>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</si>
  <si>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</si>
  <si>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</si>
  <si>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</si>
  <si>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</si>
  <si>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</si>
  <si>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</si>
  <si>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</si>
  <si>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</si>
  <si>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</si>
  <si>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</si>
  <si>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</si>
  <si>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</si>
  <si>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</si>
  <si>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</si>
  <si>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</si>
  <si>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</si>
  <si>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</si>
  <si>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</si>
  <si>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</si>
  <si>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</si>
  <si>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</si>
  <si>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</si>
  <si>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</si>
  <si>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</si>
  <si>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</si>
  <si>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</si>
  <si>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</si>
  <si>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</si>
  <si>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</si>
  <si>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</si>
  <si>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</si>
  <si>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</si>
  <si>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</si>
  <si>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</si>
  <si>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</si>
  <si>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</si>
  <si>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</si>
  <si>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</si>
  <si>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</si>
  <si>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</si>
  <si>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</si>
  <si>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</si>
  <si>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</si>
  <si>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</si>
  <si>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</si>
  <si>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</si>
  <si>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</si>
  <si>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</si>
  <si>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</si>
  <si>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</si>
  <si>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</si>
  <si>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</si>
  <si>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</si>
  <si>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</si>
  <si>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</si>
  <si>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</si>
  <si>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</si>
  <si>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</si>
  <si>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</si>
  <si>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</si>
  <si>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</si>
  <si>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</si>
  <si>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</si>
  <si>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</si>
  <si>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</si>
  <si>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</si>
  <si>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</si>
  <si>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</si>
  <si>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</si>
  <si>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</si>
  <si>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</si>
  <si>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</si>
  <si>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</si>
  <si>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</si>
  <si>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</si>
  <si>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</si>
  <si>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</si>
  <si>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</si>
  <si>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</si>
  <si>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</si>
  <si>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</si>
  <si>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</si>
  <si>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</si>
  <si>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</si>
  <si>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</si>
  <si>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</si>
  <si>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</si>
  <si>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</si>
  <si>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</si>
  <si>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</si>
  <si>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</si>
  <si>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</si>
  <si>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</si>
  <si>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</si>
  <si>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</si>
  <si>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</si>
  <si>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</si>
  <si>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</si>
  <si>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</si>
  <si>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</si>
  <si>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</si>
  <si>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</si>
  <si>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</si>
  <si>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</si>
  <si>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</si>
  <si>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</si>
  <si>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</si>
  <si>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</si>
  <si>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</si>
  <si>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</si>
  <si>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</si>
  <si>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</si>
  <si>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</si>
  <si>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</si>
  <si>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</si>
  <si>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</si>
  <si>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</si>
  <si>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</si>
  <si>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</si>
  <si>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</si>
  <si>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</si>
  <si>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</si>
  <si>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</si>
  <si>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</si>
  <si>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</si>
  <si>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</si>
  <si>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</si>
  <si>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</si>
  <si>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</si>
  <si>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</si>
  <si>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</si>
  <si>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</si>
  <si>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</si>
  <si>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</si>
  <si>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</si>
  <si>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</si>
  <si>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</si>
  <si>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</si>
  <si>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</si>
  <si>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</si>
  <si>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</si>
  <si>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</si>
  <si>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</si>
  <si>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</si>
  <si>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</si>
  <si>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</si>
  <si>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</si>
  <si>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</si>
  <si>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</si>
  <si>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</si>
  <si>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</si>
  <si>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</si>
  <si>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</si>
  <si>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</si>
  <si>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</si>
  <si>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</si>
  <si>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</si>
  <si>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</si>
  <si>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</si>
  <si>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</si>
  <si>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</si>
  <si>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</si>
  <si>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</si>
  <si>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</si>
  <si>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</si>
  <si>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</si>
  <si>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</si>
  <si>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</si>
  <si>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</si>
  <si>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</si>
  <si>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</si>
  <si>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</si>
  <si>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</si>
  <si>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</si>
  <si>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</si>
  <si>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</si>
  <si>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</si>
  <si>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</si>
  <si>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</si>
  <si>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</si>
  <si>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</si>
  <si>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</si>
  <si>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</si>
  <si>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</si>
  <si>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</si>
  <si>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</si>
  <si>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</si>
  <si>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</si>
  <si>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</si>
  <si>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</si>
  <si>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</si>
  <si>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</si>
  <si>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</si>
  <si>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</si>
  <si>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</si>
  <si>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</si>
  <si>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</si>
  <si>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</si>
  <si>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</si>
  <si>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</si>
  <si>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</si>
  <si>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</si>
  <si>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</si>
  <si>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</si>
  <si>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</si>
  <si>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</si>
  <si>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</si>
  <si>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</si>
  <si>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</si>
  <si>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</si>
  <si>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</si>
  <si>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</si>
  <si>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</si>
  <si>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</si>
  <si>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</si>
  <si>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</si>
  <si>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</si>
  <si>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</si>
  <si>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</si>
  <si>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</si>
  <si>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</si>
  <si>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</si>
  <si>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</si>
  <si>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</si>
  <si>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</si>
  <si>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</si>
  <si>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</si>
  <si>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</si>
  <si>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</si>
  <si>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</si>
  <si>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</si>
  <si>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</si>
  <si>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</si>
  <si>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</si>
  <si>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</si>
  <si>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</si>
  <si>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</si>
  <si>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</si>
  <si>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</si>
  <si>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</si>
  <si>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</si>
  <si>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</si>
  <si>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</si>
  <si>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</si>
  <si>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</si>
  <si>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</si>
  <si>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</si>
  <si>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</si>
  <si>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</si>
  <si>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</si>
  <si>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</si>
  <si>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</si>
  <si>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</si>
  <si>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</si>
  <si>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</si>
  <si>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</si>
  <si>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</si>
  <si>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</si>
  <si>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</si>
  <si>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</si>
  <si>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</si>
  <si>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</si>
  <si>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</si>
  <si>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</si>
  <si>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</si>
  <si>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</si>
  <si>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</si>
  <si>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</si>
  <si>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</si>
  <si>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</si>
  <si>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</si>
  <si>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</si>
  <si>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</si>
  <si>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</si>
  <si>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</si>
  <si>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</si>
  <si>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</si>
  <si>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</si>
  <si>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</si>
  <si>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</si>
  <si>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</si>
  <si>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</si>
  <si>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</si>
  <si>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</si>
  <si>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</si>
  <si>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</si>
  <si>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</si>
  <si>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</si>
  <si>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</si>
  <si>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</si>
  <si>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</si>
  <si>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</si>
  <si>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</si>
  <si>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</si>
  <si>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</si>
  <si>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</si>
  <si>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</si>
  <si>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</si>
  <si>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</si>
  <si>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</si>
  <si>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</si>
  <si>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</si>
  <si>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</si>
  <si>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</si>
  <si>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</si>
  <si>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</si>
  <si>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</si>
  <si>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</si>
  <si>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</si>
  <si>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</si>
  <si>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</si>
  <si>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</si>
  <si>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</si>
  <si>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</si>
  <si>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</si>
  <si>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</si>
  <si>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</si>
  <si>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</si>
  <si>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</si>
  <si>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</si>
  <si>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</si>
  <si>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</si>
  <si>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</si>
  <si>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</si>
  <si>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</si>
  <si>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</si>
  <si>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</si>
  <si>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</si>
  <si>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</si>
  <si>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</si>
  <si>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</si>
  <si>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</si>
  <si>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</si>
  <si>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</si>
  <si>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</si>
  <si>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</si>
  <si>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</si>
  <si>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</si>
  <si>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</si>
  <si>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</si>
  <si>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</si>
  <si>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</si>
  <si>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</si>
  <si>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</si>
  <si>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</si>
  <si>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</si>
  <si>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</si>
  <si>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</si>
  <si>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</si>
  <si>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</si>
  <si>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</si>
  <si>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</si>
  <si>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</si>
  <si>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</si>
  <si>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</si>
  <si>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</si>
  <si>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</si>
  <si>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</si>
  <si>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</si>
  <si>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</si>
  <si>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</si>
  <si>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</si>
  <si>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</si>
  <si>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</si>
  <si>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</si>
  <si>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</si>
  <si>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</si>
  <si>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</si>
  <si>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</si>
  <si>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</si>
  <si>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</si>
  <si>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</si>
  <si>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</si>
  <si>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</si>
  <si>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</si>
  <si>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</si>
  <si>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</si>
  <si>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</si>
  <si>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</si>
  <si>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</si>
  <si>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</si>
  <si>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</si>
  <si>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</si>
  <si>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</si>
  <si>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</si>
  <si>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</si>
  <si>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</si>
  <si>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</si>
  <si>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</si>
  <si>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</si>
  <si>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</si>
  <si>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</si>
  <si>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</si>
  <si>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</si>
  <si>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</si>
  <si>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</si>
  <si>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</si>
  <si>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</si>
  <si>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</si>
  <si>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</si>
  <si>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</si>
  <si>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</si>
  <si>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</si>
  <si>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</si>
  <si>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</si>
  <si>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</si>
  <si>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</si>
  <si>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</si>
  <si>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</si>
  <si>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</si>
  <si>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</si>
  <si>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</si>
  <si>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</si>
  <si>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</si>
  <si>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</si>
  <si>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</si>
  <si>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</si>
  <si>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</si>
  <si>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</si>
  <si>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</si>
  <si>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</si>
  <si>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</si>
  <si>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</si>
  <si>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</si>
  <si>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</si>
  <si>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</si>
  <si>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</si>
  <si>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</si>
  <si>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</si>
  <si>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</si>
  <si>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</si>
  <si>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</si>
  <si>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</si>
  <si>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</si>
  <si>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</si>
  <si>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</si>
  <si>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</si>
  <si>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</si>
  <si>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</si>
  <si>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</si>
  <si>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</si>
  <si>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</si>
  <si>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</si>
  <si>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</si>
  <si>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</si>
  <si>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</si>
  <si>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</si>
  <si>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</si>
  <si>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</si>
  <si>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</si>
  <si>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</si>
  <si>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</si>
  <si>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</si>
  <si>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</si>
  <si>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</si>
  <si>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</si>
  <si>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</si>
  <si>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</si>
  <si>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</si>
  <si>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</si>
  <si>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</si>
  <si>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</si>
  <si>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</si>
  <si>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</si>
  <si>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</si>
  <si>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</si>
  <si>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</si>
  <si>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</si>
  <si>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</si>
  <si>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</si>
  <si>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</si>
  <si>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</si>
  <si>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</si>
  <si>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</si>
  <si>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</si>
  <si>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</si>
  <si>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</si>
  <si>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</si>
  <si>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</si>
  <si>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</si>
  <si>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</si>
  <si>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</si>
  <si>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</si>
  <si>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</si>
  <si>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</si>
  <si>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</si>
  <si>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</si>
  <si>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</si>
  <si>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</si>
  <si>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</si>
  <si>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</si>
  <si>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</si>
  <si>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</si>
  <si>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</si>
  <si>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</si>
  <si>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</si>
  <si>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</si>
  <si>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</si>
  <si>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</si>
  <si>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</si>
  <si>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</si>
  <si>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</si>
  <si>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</si>
  <si>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</si>
  <si>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</si>
  <si>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</si>
  <si>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</si>
  <si>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</si>
  <si>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</si>
  <si>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</si>
  <si>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</si>
  <si>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</si>
  <si>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</si>
  <si>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</si>
  <si>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</si>
  <si>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</si>
  <si>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</si>
  <si>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</si>
  <si>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</si>
  <si>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</si>
  <si>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</si>
  <si>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</si>
  <si>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</si>
  <si>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</si>
  <si>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</si>
  <si>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</si>
  <si>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</si>
  <si>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</si>
  <si>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</si>
  <si>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</si>
  <si>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</si>
  <si>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</si>
  <si>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</si>
  <si>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</si>
  <si>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</si>
  <si>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</si>
  <si>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</si>
  <si>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</si>
  <si>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</si>
  <si>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</si>
  <si>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</si>
  <si>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</si>
  <si>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</si>
  <si>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</si>
  <si>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</si>
  <si>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</si>
  <si>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</si>
  <si>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</si>
  <si>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</si>
  <si>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</si>
  <si>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</si>
  <si>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</si>
  <si>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</si>
  <si>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</si>
  <si>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</si>
  <si>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</si>
  <si>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</si>
  <si>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</si>
  <si>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</si>
  <si>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</si>
  <si>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</si>
  <si>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</si>
  <si>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</si>
  <si>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</si>
  <si>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</si>
  <si>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</si>
  <si>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</si>
  <si>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</si>
  <si>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</si>
  <si>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</si>
  <si>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</si>
  <si>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</si>
  <si>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</si>
  <si>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</si>
  <si>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</si>
  <si>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</si>
  <si>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</si>
  <si>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</si>
  <si>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</si>
  <si>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</si>
  <si>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</si>
  <si>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</si>
  <si>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</si>
  <si>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</si>
  <si>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</si>
  <si>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</si>
  <si>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</si>
  <si>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</si>
  <si>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</si>
  <si>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</si>
  <si>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</si>
  <si>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</si>
  <si>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</si>
  <si>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</si>
  <si>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</si>
  <si>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</si>
  <si>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</si>
  <si>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</si>
  <si>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</si>
  <si>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</si>
  <si>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</si>
  <si>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</si>
  <si>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</si>
  <si>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</si>
  <si>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</si>
  <si>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</si>
  <si>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</si>
  <si>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</si>
  <si>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</si>
  <si>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</si>
  <si>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</si>
  <si>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</si>
  <si>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</si>
  <si>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</si>
  <si>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</si>
  <si>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</si>
  <si>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</si>
  <si>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</si>
  <si>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</si>
  <si>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</si>
  <si>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</si>
  <si>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</si>
  <si>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</si>
  <si>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</si>
  <si>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</si>
  <si>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</si>
  <si>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</si>
  <si>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</si>
  <si>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</si>
  <si>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</si>
  <si>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</si>
  <si>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</si>
  <si>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</si>
  <si>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</si>
  <si>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</si>
  <si>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</si>
  <si>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</si>
  <si>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</si>
  <si>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</si>
  <si>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</si>
  <si>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</si>
  <si>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</si>
  <si>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</si>
  <si>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</si>
  <si>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</si>
  <si>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</si>
  <si>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</si>
  <si>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</si>
  <si>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</si>
  <si>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</si>
  <si>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</si>
  <si>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</si>
  <si>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</si>
  <si>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</si>
  <si>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</si>
  <si>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</si>
  <si>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</si>
  <si>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</si>
  <si>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</si>
  <si>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</si>
  <si>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</si>
  <si>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</si>
  <si>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</si>
  <si>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</si>
  <si>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</si>
  <si>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</si>
  <si>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</si>
  <si>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</si>
  <si>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</si>
  <si>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</si>
  <si>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</si>
  <si>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</si>
  <si>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</si>
  <si>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</si>
  <si>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</si>
  <si>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</si>
  <si>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</si>
  <si>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</si>
  <si>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</si>
  <si>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</si>
  <si>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</si>
  <si>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</si>
  <si>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</si>
  <si>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</si>
  <si>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</si>
  <si>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</si>
  <si>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</si>
  <si>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</si>
  <si>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</si>
  <si>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</si>
  <si>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</si>
  <si>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</si>
  <si>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</si>
  <si>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</si>
  <si>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</si>
  <si>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</si>
  <si>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</si>
  <si>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</si>
  <si>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</si>
  <si>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</si>
  <si>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</si>
  <si>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</si>
  <si>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</si>
  <si>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</si>
  <si>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</si>
  <si>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</si>
  <si>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</si>
  <si>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</si>
  <si>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</si>
  <si>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</si>
  <si>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</si>
  <si>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</si>
  <si>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</si>
  <si>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</si>
  <si>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</si>
  <si>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</si>
  <si>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</si>
  <si>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</si>
  <si>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</si>
  <si>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</si>
  <si>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</si>
  <si>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</si>
  <si>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</si>
  <si>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</si>
  <si>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</si>
  <si>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</si>
  <si>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</si>
  <si>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</si>
  <si>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</si>
  <si>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</si>
  <si>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</si>
  <si>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</si>
  <si>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</si>
  <si>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</si>
  <si>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</si>
  <si>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</si>
  <si>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</si>
  <si>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</si>
  <si>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</si>
  <si>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</si>
  <si>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</si>
  <si>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</si>
  <si>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</si>
  <si>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</si>
  <si>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</si>
  <si>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</si>
  <si>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</si>
  <si>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</si>
  <si>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</si>
  <si>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</si>
  <si>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</si>
  <si>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</si>
  <si>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</si>
  <si>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</si>
  <si>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</si>
  <si>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</si>
  <si>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</si>
  <si>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</si>
  <si>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</si>
  <si>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</si>
  <si>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</si>
  <si>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</si>
  <si>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</si>
  <si>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</si>
  <si>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</si>
  <si>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</si>
  <si>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</si>
  <si>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</si>
  <si>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</si>
  <si>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</si>
  <si>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</si>
  <si>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</si>
  <si>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</si>
  <si>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</si>
  <si>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</si>
  <si>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</si>
  <si>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</si>
  <si>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</si>
  <si>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</si>
  <si>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</si>
  <si>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</si>
  <si>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</si>
  <si>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</si>
  <si>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</si>
  <si>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</si>
  <si>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</si>
  <si>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</si>
  <si>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</si>
  <si>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</si>
  <si>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</si>
  <si>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</si>
  <si>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</si>
  <si>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</si>
  <si>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</si>
  <si>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</si>
  <si>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</si>
  <si>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</si>
  <si>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</si>
  <si>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</si>
  <si>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</si>
  <si>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</si>
  <si>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</si>
  <si>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</si>
  <si>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</si>
  <si>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</si>
  <si>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</si>
  <si>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</si>
  <si>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</si>
  <si>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</si>
  <si>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</si>
  <si>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</si>
  <si>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</si>
  <si>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</si>
  <si>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</si>
  <si>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</si>
  <si>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</si>
  <si>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</si>
  <si>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</si>
  <si>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</si>
  <si>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</si>
  <si>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</si>
  <si>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</si>
  <si>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</si>
  <si>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</si>
  <si>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</si>
  <si>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</si>
  <si>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</si>
  <si>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</si>
  <si>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</si>
  <si>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</si>
  <si>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</si>
  <si>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</si>
  <si>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</si>
  <si>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</si>
  <si>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</si>
  <si>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</si>
  <si>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</si>
  <si>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</si>
  <si>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</si>
  <si>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</si>
  <si>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</si>
  <si>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</si>
  <si>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</si>
  <si>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</si>
  <si>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</si>
  <si>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</si>
  <si>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</si>
  <si>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</si>
  <si>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</si>
  <si>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</si>
  <si>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</si>
  <si>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</si>
  <si>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</si>
  <si>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</si>
  <si>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</si>
  <si>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</si>
  <si>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</si>
  <si>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</si>
  <si>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</si>
  <si>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</si>
  <si>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</si>
  <si>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</si>
  <si>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</si>
  <si>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</si>
  <si>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</si>
  <si>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</si>
  <si>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</si>
  <si>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</si>
  <si>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</si>
  <si>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</si>
  <si>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</si>
  <si>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</si>
  <si>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</si>
  <si>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</si>
  <si>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</si>
  <si>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</si>
  <si>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</si>
  <si>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</si>
  <si>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</si>
  <si>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</si>
  <si>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</si>
  <si>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</si>
  <si>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</si>
  <si>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</si>
  <si>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</si>
  <si>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</si>
  <si>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</si>
  <si>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</si>
  <si>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</si>
  <si>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</si>
  <si>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</si>
  <si>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</si>
  <si>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</si>
  <si>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</si>
  <si>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</si>
  <si>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</si>
  <si>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</si>
  <si>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</si>
  <si>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</si>
  <si>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</si>
  <si>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</si>
  <si>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</si>
  <si>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</si>
  <si>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</si>
  <si>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</si>
  <si>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</si>
  <si>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</si>
  <si>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</si>
  <si>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</si>
  <si>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</si>
  <si>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</si>
  <si>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</si>
  <si>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</si>
  <si>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</si>
  <si>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</si>
  <si>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</si>
  <si>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</si>
  <si>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</si>
  <si>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</si>
  <si>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</si>
  <si>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</si>
  <si>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</si>
  <si>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</si>
  <si>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</si>
  <si>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</si>
  <si>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</si>
  <si>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</si>
  <si>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</si>
  <si>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</si>
  <si>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</si>
  <si>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</si>
  <si>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</si>
  <si>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</si>
  <si>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</si>
  <si>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</si>
  <si>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</si>
  <si>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</si>
  <si>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</si>
  <si>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</si>
  <si>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</si>
  <si>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</si>
  <si>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</si>
  <si>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</si>
  <si>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</si>
  <si>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</si>
  <si>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</si>
  <si>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</si>
  <si>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</si>
  <si>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</si>
  <si>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</si>
  <si>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</si>
  <si>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</si>
  <si>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</si>
  <si>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</si>
  <si>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</si>
  <si>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</si>
  <si>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</si>
  <si>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</si>
  <si>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</si>
  <si>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</si>
  <si>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</si>
  <si>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</si>
  <si>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</si>
  <si>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</si>
  <si>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</si>
  <si>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</si>
  <si>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</si>
  <si>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</si>
  <si>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</si>
  <si>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</si>
  <si>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</si>
  <si>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</si>
  <si>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</si>
  <si>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</si>
  <si>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</si>
  <si>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</si>
  <si>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</si>
  <si>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</si>
  <si>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</si>
  <si>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</si>
  <si>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</si>
  <si>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</si>
  <si>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</si>
  <si>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</si>
  <si>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</si>
  <si>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</si>
  <si>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</si>
  <si>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</si>
  <si>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</si>
  <si>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</si>
  <si>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</si>
  <si>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</si>
  <si>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</si>
  <si>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</si>
  <si>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</si>
  <si>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</si>
  <si>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</si>
  <si>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</si>
  <si>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</si>
  <si>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</si>
  <si>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</si>
  <si>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</si>
  <si>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</si>
  <si>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</si>
  <si>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</si>
  <si>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</si>
  <si>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</si>
  <si>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</si>
  <si>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</si>
  <si>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</si>
  <si>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</si>
  <si>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</si>
  <si>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</si>
  <si>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</si>
  <si>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</si>
  <si>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</si>
  <si>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</si>
  <si>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</si>
  <si>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</si>
  <si>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</si>
  <si>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</si>
  <si>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</si>
  <si>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</si>
  <si>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</si>
  <si>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</si>
  <si>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</si>
  <si>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</si>
  <si>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</si>
  <si>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</si>
  <si>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</si>
  <si>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</si>
  <si>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</si>
  <si>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</si>
  <si>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</si>
  <si>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</si>
  <si>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</si>
  <si>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</si>
  <si>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</si>
  <si>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</si>
  <si>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</si>
  <si>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</si>
  <si>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</si>
  <si>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</si>
  <si>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</si>
  <si>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</si>
  <si>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</si>
  <si>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</si>
  <si>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</si>
  <si>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</si>
  <si>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</si>
  <si>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</si>
  <si>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</si>
  <si>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</si>
  <si>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</si>
  <si>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</si>
  <si>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</si>
  <si>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</si>
  <si>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</si>
  <si>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</si>
  <si>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</si>
  <si>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</si>
  <si>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</si>
  <si>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</si>
  <si>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</si>
  <si>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</si>
  <si>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</si>
  <si>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</si>
  <si>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</si>
  <si>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</si>
  <si>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</si>
  <si>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</si>
  <si>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</si>
  <si>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</si>
  <si>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</si>
  <si>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</si>
  <si>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</si>
  <si>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</si>
  <si>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</si>
  <si>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</si>
  <si>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</si>
  <si>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</si>
  <si>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</si>
  <si>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</si>
  <si>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</si>
  <si>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</si>
  <si>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</si>
  <si>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</si>
  <si>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</si>
  <si>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</si>
  <si>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</si>
  <si>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</si>
  <si>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</si>
  <si>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</si>
  <si>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</si>
  <si>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</si>
  <si>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</si>
  <si>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</si>
  <si>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</si>
  <si>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</si>
  <si>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</si>
  <si>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</si>
  <si>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</si>
  <si>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</si>
  <si>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</si>
  <si>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</si>
  <si>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</si>
  <si>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</si>
  <si>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</si>
  <si>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</si>
  <si>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</si>
  <si>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</si>
  <si>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</si>
  <si>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</si>
  <si>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</si>
  <si>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</si>
  <si>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</si>
  <si>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</si>
  <si>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</si>
  <si>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</si>
  <si>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</si>
  <si>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</si>
  <si>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</si>
  <si>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</si>
  <si>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</si>
  <si>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</si>
  <si>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</si>
  <si>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</si>
  <si>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</si>
  <si>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</si>
  <si>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</si>
  <si>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</si>
  <si>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</si>
  <si>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</si>
  <si>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</si>
  <si>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</si>
  <si>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</si>
  <si>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</si>
  <si>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</si>
  <si>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</si>
  <si>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</si>
  <si>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</si>
  <si>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</si>
  <si>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</si>
  <si>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</si>
  <si>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</si>
  <si>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</si>
  <si>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</si>
  <si>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</si>
  <si>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</si>
  <si>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</si>
  <si>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</si>
  <si>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</si>
  <si>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</si>
  <si>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</si>
  <si>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</si>
  <si>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</si>
  <si>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</si>
  <si>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</si>
  <si>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</si>
  <si>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</si>
  <si>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</si>
  <si>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</si>
  <si>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</si>
  <si>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</si>
  <si>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</si>
  <si>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</si>
  <si>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</si>
  <si>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</si>
  <si>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</si>
  <si>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</si>
  <si>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</si>
  <si>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</si>
  <si>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</si>
  <si>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</si>
  <si>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</si>
  <si>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</si>
  <si>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</si>
  <si>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</si>
  <si>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</si>
  <si>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</si>
  <si>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</si>
  <si>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</si>
  <si>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</si>
  <si>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</si>
  <si>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</si>
  <si>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</si>
  <si>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</si>
  <si>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</si>
  <si>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</si>
  <si>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</si>
  <si>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</si>
  <si>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</si>
  <si>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</si>
  <si>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</si>
  <si>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</si>
  <si>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</si>
  <si>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</si>
  <si>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</si>
  <si>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</si>
  <si>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</si>
  <si>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</si>
  <si>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</si>
  <si>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</si>
  <si>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</si>
  <si>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</si>
  <si>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</si>
  <si>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</si>
  <si>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</si>
  <si>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</si>
  <si>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</si>
  <si>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</si>
  <si>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</si>
  <si>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</si>
  <si>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</si>
  <si>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</si>
  <si>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</si>
  <si>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</si>
  <si>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</si>
  <si>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</si>
  <si>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</si>
  <si>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</si>
  <si>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</si>
  <si>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</si>
  <si>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</si>
  <si>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</si>
  <si>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</si>
  <si>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</si>
  <si>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</si>
  <si>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</si>
  <si>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</si>
  <si>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</si>
  <si>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</si>
  <si>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</si>
  <si>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</si>
  <si>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</si>
  <si>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</si>
  <si>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</si>
  <si>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</si>
  <si>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</si>
  <si>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</si>
  <si>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</si>
  <si>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</si>
  <si>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</si>
  <si>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</si>
  <si>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</si>
  <si>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</si>
  <si>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</si>
  <si>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</si>
  <si>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</si>
  <si>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</si>
  <si>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</si>
  <si>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</si>
  <si>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</si>
  <si>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</si>
  <si>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</si>
  <si>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</si>
  <si>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</si>
  <si>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</si>
  <si>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</si>
  <si>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</si>
  <si>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</si>
  <si>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</si>
  <si>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</si>
  <si>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</si>
  <si>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</si>
  <si>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</si>
  <si>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</si>
  <si>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</si>
  <si>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</si>
  <si>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</si>
  <si>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</si>
  <si>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</si>
  <si>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</si>
  <si>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</si>
  <si>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</si>
  <si>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</si>
  <si>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</si>
  <si>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</si>
  <si>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</si>
  <si>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</si>
  <si>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</si>
  <si>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</si>
  <si>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</si>
  <si>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</si>
  <si>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</si>
  <si>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</si>
  <si>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</si>
  <si>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</si>
  <si>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</si>
  <si>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</si>
  <si>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</si>
  <si>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</si>
  <si>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</si>
  <si>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</si>
  <si>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</si>
  <si>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</si>
  <si>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</si>
  <si>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</si>
  <si>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</si>
  <si>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</si>
  <si>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</si>
  <si>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</si>
  <si>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</si>
  <si>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</si>
  <si>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</si>
  <si>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</si>
  <si>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</si>
  <si>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</si>
  <si>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</si>
  <si>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</si>
  <si>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</si>
  <si>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</si>
  <si>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</si>
  <si>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</si>
  <si>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</si>
  <si>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</si>
  <si>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</si>
  <si>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</si>
  <si>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</si>
  <si>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</si>
  <si>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</si>
  <si>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</si>
  <si>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</si>
  <si>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</si>
  <si>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</si>
  <si>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</si>
  <si>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</si>
  <si>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</si>
  <si>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</si>
  <si>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</si>
  <si>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</si>
  <si>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</si>
  <si>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</si>
  <si>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</si>
  <si>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</si>
  <si>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</si>
  <si>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</si>
  <si>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</si>
  <si>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</si>
  <si>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</si>
  <si>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</si>
  <si>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</si>
  <si>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</si>
  <si>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</si>
  <si>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</si>
  <si>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</si>
  <si>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</si>
  <si>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</si>
  <si>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</si>
  <si>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</si>
  <si>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</si>
  <si>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</si>
  <si>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</si>
  <si>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</si>
  <si>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</si>
  <si>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</si>
  <si>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</si>
  <si>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</si>
  <si>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</si>
  <si>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</si>
  <si>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</si>
  <si>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</si>
  <si>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</si>
  <si>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</si>
  <si>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</si>
  <si>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</si>
  <si>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</si>
  <si>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</si>
  <si>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</si>
  <si>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</si>
  <si>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</si>
  <si>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</si>
  <si>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</si>
  <si>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</si>
  <si>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</si>
  <si>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</si>
  <si>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</si>
  <si>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</si>
  <si>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</si>
  <si>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</si>
  <si>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</si>
  <si>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</si>
  <si>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</si>
  <si>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</si>
  <si>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</si>
  <si>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</si>
  <si>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</si>
  <si>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</si>
  <si>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</si>
  <si>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</si>
  <si>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</si>
  <si>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</si>
  <si>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</si>
  <si>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</si>
  <si>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</si>
  <si>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</si>
  <si>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</si>
  <si>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</si>
  <si>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</si>
  <si>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</si>
  <si>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</si>
  <si>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</si>
  <si>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</si>
  <si>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</si>
  <si>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</si>
  <si>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</si>
  <si>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</si>
  <si>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</si>
  <si>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</si>
  <si>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</si>
  <si>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</si>
  <si>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</si>
  <si>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</si>
  <si>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</si>
  <si>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</si>
  <si>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</si>
  <si>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</si>
  <si>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</si>
  <si>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</si>
  <si>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</si>
  <si>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</si>
  <si>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</si>
  <si>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</si>
  <si>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</si>
  <si>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</si>
  <si>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</si>
  <si>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</si>
  <si>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</si>
  <si>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</si>
  <si>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</si>
  <si>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</si>
  <si>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</si>
  <si>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</si>
  <si>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</si>
  <si>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</si>
  <si>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</si>
  <si>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</si>
  <si>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</si>
  <si>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</si>
  <si>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</si>
  <si>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</si>
  <si>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</si>
  <si>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</si>
  <si>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</si>
  <si>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</si>
  <si>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</si>
  <si>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</si>
  <si>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</si>
  <si>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</si>
  <si>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</si>
  <si>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</si>
  <si>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</si>
  <si>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</si>
  <si>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</si>
  <si>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</si>
  <si>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</si>
  <si>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</si>
  <si>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</si>
  <si>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</si>
  <si>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</si>
  <si>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</si>
  <si>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</si>
  <si>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</si>
  <si>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</si>
  <si>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</si>
  <si>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</si>
  <si>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</si>
  <si>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</si>
  <si>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</si>
  <si>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</si>
  <si>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</si>
  <si>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</si>
  <si>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</si>
  <si>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</si>
  <si>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</si>
  <si>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</si>
  <si>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</si>
  <si>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</si>
  <si>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</si>
  <si>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</si>
  <si>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</si>
  <si>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</si>
  <si>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</si>
  <si>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</si>
  <si>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</si>
  <si>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</si>
  <si>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</si>
  <si>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</si>
  <si>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</si>
  <si>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</si>
  <si>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</si>
  <si>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</si>
  <si>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</si>
  <si>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</si>
  <si>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</si>
  <si>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</si>
  <si>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</si>
  <si>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</si>
  <si>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</si>
  <si>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</si>
  <si>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</si>
  <si>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</si>
  <si>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</si>
  <si>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</si>
  <si>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</si>
  <si>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</si>
  <si>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</si>
  <si>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</si>
  <si>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</si>
  <si>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</si>
  <si>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</si>
  <si>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</si>
  <si>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</si>
  <si>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</si>
  <si>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</si>
  <si>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</si>
  <si>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</si>
  <si>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</si>
  <si>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</si>
  <si>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</si>
  <si>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</si>
  <si>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</si>
  <si>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</si>
  <si>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</si>
  <si>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</si>
  <si>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</si>
  <si>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</si>
  <si>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</si>
  <si>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</si>
  <si>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</si>
  <si>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</si>
  <si>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</si>
  <si>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</si>
  <si>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</si>
  <si>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</si>
  <si>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</si>
  <si>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</si>
  <si>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</si>
  <si>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</si>
  <si>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</si>
  <si>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</si>
  <si>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</si>
  <si>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</si>
  <si>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</si>
  <si>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</si>
  <si>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</si>
  <si>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</si>
  <si>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</si>
  <si>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</si>
  <si>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</si>
  <si>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</si>
  <si>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</si>
  <si>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</si>
  <si>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</si>
  <si>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</si>
  <si>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</si>
  <si>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</si>
  <si>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</si>
  <si>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</si>
  <si>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</si>
  <si>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</si>
  <si>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</si>
  <si>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</si>
  <si>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</si>
  <si>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</si>
  <si>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</si>
  <si>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</si>
  <si>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</si>
  <si>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</si>
  <si>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</si>
  <si>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</si>
  <si>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</si>
  <si>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</si>
  <si>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</si>
  <si>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</si>
  <si>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</si>
  <si>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</si>
  <si>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</si>
  <si>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</si>
  <si>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</si>
  <si>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</si>
  <si>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</si>
  <si>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</si>
  <si>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</si>
  <si>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</si>
  <si>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</si>
  <si>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</si>
  <si>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</si>
  <si>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</si>
  <si>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</si>
  <si>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</si>
  <si>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</si>
  <si>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</si>
  <si>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</si>
  <si>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</si>
  <si>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</si>
  <si>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</si>
  <si>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</si>
  <si>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</si>
  <si>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</si>
  <si>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</si>
  <si>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</si>
  <si>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</si>
  <si>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</si>
  <si>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</si>
  <si>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</si>
  <si>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</si>
  <si>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</si>
  <si>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</si>
  <si>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</si>
  <si>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</si>
  <si>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</si>
  <si>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</si>
  <si>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</si>
  <si>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</si>
  <si>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</si>
  <si>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</si>
  <si>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</si>
  <si>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</si>
  <si>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</si>
  <si>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</si>
  <si>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</si>
  <si>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</si>
  <si>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</si>
  <si>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</si>
  <si>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</si>
  <si>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</si>
  <si>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</si>
  <si>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</si>
  <si>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</si>
  <si>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</si>
  <si>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</si>
  <si>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</si>
  <si>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</si>
  <si>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</si>
  <si>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</si>
  <si>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</si>
  <si>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</si>
  <si>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</si>
  <si>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</si>
  <si>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</si>
  <si>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</si>
  <si>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</si>
  <si>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</si>
  <si>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</si>
  <si>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</si>
  <si>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</si>
  <si>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</si>
  <si>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</si>
  <si>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</si>
  <si>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</si>
  <si>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</si>
  <si>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</si>
  <si>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</si>
  <si>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</si>
  <si>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</si>
  <si>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</si>
  <si>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</si>
  <si>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</si>
  <si>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</si>
  <si>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</si>
  <si>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</si>
  <si>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</si>
  <si>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</si>
  <si>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</si>
  <si>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</si>
  <si>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</si>
  <si>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</si>
  <si>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</si>
  <si>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</si>
  <si>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</si>
  <si>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</si>
  <si>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</si>
  <si>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</si>
  <si>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</si>
  <si>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</si>
  <si>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</si>
  <si>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</si>
  <si>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</si>
  <si>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</si>
  <si>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</si>
  <si>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</si>
  <si>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</si>
  <si>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</si>
  <si>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</si>
  <si>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</si>
  <si>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</si>
  <si>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</si>
  <si>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</si>
  <si>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</si>
  <si>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</si>
  <si>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</si>
  <si>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</si>
  <si>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</si>
  <si>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</si>
  <si>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</si>
  <si>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</si>
  <si>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</si>
  <si>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</si>
  <si>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</si>
  <si>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</si>
  <si>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</si>
  <si>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</si>
  <si>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</si>
  <si>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</si>
  <si>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</si>
  <si>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</si>
  <si>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</si>
  <si>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</si>
  <si>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</si>
  <si>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</si>
  <si>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</si>
  <si>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</si>
  <si>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</si>
  <si>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</si>
  <si>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</si>
  <si>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</si>
  <si>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</si>
  <si>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</si>
  <si>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</si>
  <si>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</si>
  <si>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</si>
  <si>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</si>
  <si>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</si>
  <si>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</si>
  <si>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</si>
  <si>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</si>
  <si>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</si>
  <si>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</si>
  <si>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</si>
  <si>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</si>
  <si>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</si>
  <si>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</si>
  <si>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</si>
  <si>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</si>
  <si>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</si>
  <si>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</si>
  <si>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</si>
  <si>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</si>
  <si>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</si>
  <si>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</si>
  <si>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</si>
  <si>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</si>
  <si>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</si>
  <si>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</si>
  <si>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</si>
  <si>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</si>
  <si>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</si>
  <si>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</si>
  <si>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</si>
  <si>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</si>
  <si>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</si>
  <si>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</si>
  <si>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</si>
  <si>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</si>
  <si>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</si>
  <si>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</si>
  <si>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</si>
  <si>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</si>
  <si>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</si>
  <si>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</si>
  <si>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</si>
  <si>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</si>
  <si>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</si>
  <si>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</si>
  <si>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</si>
  <si>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</si>
  <si>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</si>
  <si>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</si>
  <si>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</si>
  <si>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</si>
  <si>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</si>
  <si>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</si>
  <si>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</si>
  <si>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</si>
  <si>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</si>
  <si>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</si>
  <si>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</si>
  <si>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</si>
  <si>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</si>
  <si>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</si>
  <si>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</si>
  <si>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</si>
  <si>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</si>
  <si>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</si>
  <si>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</si>
  <si>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</si>
  <si>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</si>
  <si>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</si>
  <si>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</si>
  <si>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</si>
  <si>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</si>
  <si>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</si>
  <si>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</si>
  <si>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</si>
  <si>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</si>
  <si>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</si>
  <si>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</si>
  <si>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</si>
  <si>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</si>
  <si>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</si>
  <si>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</si>
  <si>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</si>
  <si>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</si>
  <si>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</si>
  <si>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</si>
  <si>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</si>
  <si>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</si>
  <si>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</si>
  <si>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</si>
  <si>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</si>
  <si>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</si>
  <si>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</si>
  <si>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</si>
  <si>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</si>
  <si>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</si>
  <si>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</si>
  <si>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</si>
  <si>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</si>
  <si>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</si>
  <si>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</si>
  <si>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</si>
  <si>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</si>
  <si>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</si>
  <si>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</si>
  <si>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</si>
  <si>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</si>
  <si>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</si>
  <si>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</si>
  <si>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</si>
  <si>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</si>
  <si>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</si>
  <si>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</si>
  <si>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</si>
  <si>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</si>
  <si>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</si>
  <si>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</si>
  <si>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</si>
  <si>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</si>
  <si>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</si>
  <si>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</si>
  <si>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</si>
  <si>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</si>
  <si>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</si>
  <si>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</si>
  <si>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</si>
  <si>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</si>
  <si>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</si>
  <si>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</si>
  <si>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</si>
  <si>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</si>
  <si>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</si>
  <si>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</si>
  <si>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</si>
  <si>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</si>
  <si>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</si>
  <si>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</si>
  <si>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</si>
  <si>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</si>
  <si>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</si>
  <si>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</si>
  <si>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</si>
  <si>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</si>
  <si>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</si>
  <si>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</si>
  <si>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</si>
  <si>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</si>
  <si>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</si>
  <si>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</si>
  <si>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</si>
  <si>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</si>
  <si>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</si>
  <si>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</si>
  <si>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</si>
  <si>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</si>
  <si>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</si>
  <si>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</si>
  <si>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</si>
  <si>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</si>
  <si>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</si>
  <si>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</si>
  <si>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</si>
  <si>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</si>
  <si>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</si>
  <si>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</si>
  <si>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</si>
  <si>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</si>
  <si>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</si>
  <si>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</si>
  <si>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</si>
  <si>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</si>
  <si>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</si>
  <si>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</si>
  <si>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</si>
  <si>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</si>
  <si>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</si>
  <si>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</si>
  <si>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</si>
  <si>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</si>
  <si>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</si>
  <si>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</si>
  <si>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</si>
  <si>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</si>
  <si>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</si>
  <si>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</si>
  <si>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</si>
  <si>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</si>
  <si>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</si>
  <si>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</si>
  <si>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</si>
  <si>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</si>
  <si>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</si>
  <si>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</si>
  <si>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</si>
  <si>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</si>
  <si>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</si>
  <si>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</si>
  <si>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</si>
  <si>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</si>
  <si>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</si>
  <si>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</si>
  <si>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</si>
  <si>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</si>
  <si>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</si>
  <si>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</si>
  <si>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</si>
  <si>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</si>
  <si>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</si>
  <si>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</si>
  <si>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</si>
  <si>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</si>
  <si>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</si>
  <si>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</si>
  <si>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</si>
  <si>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</si>
  <si>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</si>
  <si>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</si>
  <si>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</si>
  <si>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</si>
  <si>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</si>
  <si>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</si>
  <si>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</si>
  <si>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</si>
  <si>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</si>
  <si>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</si>
  <si>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</si>
  <si>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</si>
  <si>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</si>
  <si>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</si>
  <si>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</si>
  <si>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</si>
  <si>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</si>
  <si>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</si>
  <si>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</si>
  <si>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</si>
  <si>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</si>
  <si>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</si>
  <si>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</si>
  <si>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</si>
  <si>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</si>
  <si>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</si>
  <si>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</si>
  <si>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</si>
  <si>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</si>
  <si>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</si>
  <si>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</si>
  <si>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</si>
  <si>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</si>
  <si>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</si>
  <si>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</si>
  <si>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</si>
  <si>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</si>
  <si>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</si>
  <si>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</si>
  <si>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</si>
  <si>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</si>
  <si>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</si>
  <si>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</si>
  <si>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</si>
  <si>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</si>
  <si>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</si>
  <si>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</si>
  <si>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</si>
  <si>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</si>
  <si>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</si>
  <si>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</si>
  <si>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</si>
  <si>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</si>
  <si>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</si>
  <si>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</si>
  <si>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</si>
  <si>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</si>
  <si>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</si>
  <si>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</si>
  <si>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</si>
  <si>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</si>
  <si>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</si>
  <si>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</si>
  <si>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</si>
  <si>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</si>
  <si>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</si>
  <si>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</si>
  <si>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</si>
  <si>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</si>
  <si>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</si>
  <si>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</si>
  <si>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</si>
  <si>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</si>
  <si>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</si>
  <si>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</si>
  <si>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</si>
  <si>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</si>
  <si>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</si>
  <si>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</si>
  <si>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</si>
  <si>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</si>
  <si>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</si>
  <si>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</si>
  <si>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</si>
  <si>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</si>
  <si>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</si>
  <si>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</si>
  <si>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</si>
  <si>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</si>
  <si>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</si>
  <si>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</si>
  <si>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</si>
  <si>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</si>
  <si>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</si>
  <si>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</si>
  <si>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</si>
  <si>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</si>
  <si>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</si>
  <si>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</si>
  <si>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</si>
  <si>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</si>
  <si>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</si>
  <si>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</si>
  <si>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</si>
  <si>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</si>
  <si>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</si>
  <si>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</si>
  <si>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</si>
  <si>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</si>
  <si>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</si>
  <si>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</si>
  <si>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</si>
  <si>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</si>
  <si>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</si>
  <si>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</si>
  <si>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</si>
  <si>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</si>
  <si>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</si>
  <si>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</si>
  <si>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</si>
  <si>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</si>
  <si>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</si>
  <si>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</si>
  <si>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</si>
  <si>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</si>
  <si>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</si>
  <si>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</si>
  <si>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</si>
  <si>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</si>
  <si>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</si>
  <si>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</si>
  <si>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</si>
  <si>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</si>
  <si>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</si>
  <si>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</si>
  <si>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</si>
  <si>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</si>
  <si>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</si>
  <si>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</si>
  <si>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</si>
  <si>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</si>
  <si>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</si>
  <si>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</si>
  <si>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</si>
  <si>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</si>
  <si>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</si>
  <si>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</si>
  <si>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</si>
  <si>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</si>
  <si>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</si>
  <si>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</si>
  <si>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</si>
  <si>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</si>
  <si>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</si>
  <si>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</si>
  <si>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</si>
  <si>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</si>
  <si>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</si>
  <si>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</si>
  <si>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</si>
  <si>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</si>
  <si>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</si>
  <si>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</si>
  <si>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</si>
  <si>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</si>
  <si>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</si>
  <si>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</si>
  <si>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</si>
  <si>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</si>
  <si>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</si>
  <si>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</si>
  <si>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</si>
  <si>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</si>
  <si>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</si>
  <si>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</si>
  <si>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</si>
  <si>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</si>
  <si>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</si>
  <si>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</si>
  <si>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</si>
  <si>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</si>
  <si>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</si>
  <si>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</si>
  <si>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</si>
  <si>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</si>
  <si>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</si>
  <si>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</si>
  <si>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</si>
  <si>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</si>
  <si>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</si>
  <si>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</si>
  <si>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</si>
  <si>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</si>
  <si>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</si>
  <si>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</si>
  <si>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</si>
  <si>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</si>
  <si>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</si>
  <si>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</si>
  <si>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</si>
  <si>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</si>
  <si>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</si>
  <si>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</si>
  <si>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</si>
  <si>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</si>
  <si>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</si>
  <si>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</si>
  <si>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</si>
  <si>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</si>
  <si>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</si>
  <si>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</si>
  <si>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</si>
  <si>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</si>
  <si>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</si>
  <si>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</si>
  <si>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</si>
  <si>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</si>
  <si>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</si>
  <si>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</si>
  <si>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</si>
  <si>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</si>
  <si>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</si>
  <si>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</si>
  <si>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</si>
  <si>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</si>
  <si>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</si>
  <si>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</si>
  <si>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</si>
  <si>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</si>
  <si>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</si>
  <si>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</si>
  <si>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</si>
  <si>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</si>
  <si>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</si>
  <si>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</si>
  <si>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</si>
  <si>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</si>
  <si>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</si>
  <si>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</si>
  <si>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</si>
  <si>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</si>
  <si>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</si>
  <si>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</si>
  <si>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</si>
  <si>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</si>
  <si>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</si>
  <si>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</si>
  <si>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</si>
  <si>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</si>
  <si>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</si>
  <si>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</si>
  <si>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</si>
  <si>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</si>
  <si>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</si>
  <si>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</si>
  <si>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</si>
  <si>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</si>
  <si>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</si>
  <si>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</si>
  <si>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</si>
  <si>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</si>
  <si>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</si>
  <si>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</si>
  <si>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</si>
  <si>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</si>
  <si>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</si>
  <si>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</si>
  <si>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</si>
  <si>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</si>
  <si>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</si>
  <si>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</si>
  <si>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</si>
  <si>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</si>
  <si>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</si>
  <si>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</si>
  <si>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</si>
  <si>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</si>
  <si>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</si>
  <si>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</si>
  <si>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</si>
  <si>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</si>
  <si>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</si>
  <si>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</si>
  <si>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</si>
  <si>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</si>
  <si>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</si>
  <si>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</si>
  <si>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</si>
  <si>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</si>
  <si>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</si>
  <si>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</si>
  <si>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</si>
  <si>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</si>
  <si>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</si>
  <si>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</si>
  <si>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</si>
  <si>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</si>
  <si>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</si>
  <si>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</si>
  <si>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</si>
  <si>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</si>
  <si>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</si>
  <si>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</si>
  <si>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</si>
  <si>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</si>
  <si>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</si>
  <si>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</si>
  <si>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</si>
  <si>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</si>
  <si>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</si>
  <si>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</si>
  <si>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</si>
  <si>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</si>
  <si>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</si>
  <si>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</si>
  <si>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</si>
  <si>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</si>
  <si>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</si>
  <si>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</si>
  <si>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</si>
  <si>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</si>
  <si>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</si>
  <si>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</si>
  <si>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</si>
  <si>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</si>
  <si>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</si>
  <si>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</si>
  <si>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</si>
  <si>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</si>
  <si>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</si>
  <si>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</si>
  <si>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</si>
  <si>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</si>
  <si>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</si>
  <si>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</si>
  <si>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</si>
  <si>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</si>
  <si>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</si>
  <si>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</si>
  <si>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</si>
  <si>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</si>
  <si>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</si>
  <si>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</si>
  <si>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</si>
  <si>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</si>
  <si>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</si>
  <si>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</si>
  <si>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</si>
  <si>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</si>
  <si>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</si>
  <si>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</si>
  <si>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</si>
  <si>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</si>
  <si>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</si>
  <si>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</si>
  <si>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</si>
  <si>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</si>
  <si>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</si>
  <si>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</si>
  <si>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</si>
  <si>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</si>
  <si>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</si>
  <si>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</si>
  <si>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</si>
  <si>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</si>
  <si>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</si>
  <si>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</si>
  <si>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</si>
  <si>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</si>
  <si>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</si>
  <si>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</si>
  <si>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</si>
  <si>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</si>
  <si>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</si>
  <si>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</si>
  <si>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</si>
  <si>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</si>
  <si>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</si>
  <si>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</si>
  <si>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</si>
  <si>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</si>
  <si>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</si>
  <si>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</si>
  <si>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</si>
  <si>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</si>
  <si>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</si>
  <si>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</si>
  <si>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</si>
  <si>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</si>
  <si>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</si>
  <si>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</si>
  <si>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</si>
  <si>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</si>
  <si>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</si>
  <si>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</si>
  <si>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</si>
  <si>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</si>
  <si>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</si>
  <si>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</si>
  <si>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</si>
  <si>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</si>
  <si>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</si>
  <si>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</si>
  <si>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</si>
  <si>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</si>
  <si>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</si>
  <si>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</si>
  <si>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</si>
  <si>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</si>
  <si>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</si>
  <si>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</si>
  <si>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</si>
  <si>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</si>
  <si>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</si>
  <si>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</si>
  <si>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</si>
  <si>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</si>
  <si>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</si>
  <si>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</si>
  <si>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</si>
  <si>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</si>
  <si>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</si>
  <si>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</si>
  <si>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</si>
  <si>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</si>
  <si>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</si>
  <si>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</si>
  <si>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</si>
  <si>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</si>
  <si>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</si>
  <si>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</si>
  <si>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</si>
  <si>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</si>
  <si>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</si>
  <si>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</si>
  <si>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</si>
  <si>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</si>
  <si>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</si>
  <si>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</si>
  <si>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</si>
  <si>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</si>
  <si>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</si>
  <si>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</si>
  <si>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</si>
  <si>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</si>
  <si>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</si>
  <si>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</si>
  <si>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</si>
  <si>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</si>
  <si>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</si>
  <si>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</si>
  <si>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</si>
  <si>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</si>
  <si>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</si>
  <si>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</si>
  <si>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</si>
  <si>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</si>
  <si>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</si>
  <si>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</si>
  <si>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</si>
  <si>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</si>
  <si>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</si>
  <si>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</si>
  <si>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</si>
  <si>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</si>
  <si>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</si>
  <si>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</si>
  <si>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</si>
  <si>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</si>
  <si>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</si>
  <si>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</si>
  <si>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</si>
  <si>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</si>
  <si>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</si>
  <si>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</si>
  <si>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</si>
  <si>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</si>
  <si>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</si>
  <si>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</si>
  <si>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</si>
  <si>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</si>
  <si>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</si>
  <si>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</si>
  <si>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</si>
  <si>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</si>
  <si>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</si>
  <si>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</si>
  <si>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</si>
  <si>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</si>
  <si>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</si>
  <si>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</si>
  <si>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</si>
  <si>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</si>
  <si>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</si>
  <si>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</si>
  <si>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</si>
  <si>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</si>
  <si>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</si>
  <si>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</si>
  <si>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</si>
  <si>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</si>
  <si>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</si>
  <si>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</si>
  <si>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</si>
  <si>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</si>
  <si>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</si>
  <si>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</si>
  <si>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</si>
  <si>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</si>
  <si>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</si>
  <si>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</si>
  <si>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</si>
  <si>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</si>
  <si>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</si>
  <si>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</si>
  <si>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</si>
  <si>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</si>
  <si>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</si>
  <si>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</si>
  <si>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</si>
  <si>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</si>
  <si>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</si>
  <si>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</si>
  <si>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</si>
  <si>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</si>
  <si>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</si>
  <si>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</si>
  <si>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</si>
  <si>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</si>
  <si>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</si>
  <si>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</si>
  <si>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</si>
  <si>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</si>
  <si>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</si>
  <si>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</si>
  <si>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</si>
  <si>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</si>
  <si>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</si>
  <si>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</si>
  <si>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</si>
  <si>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</si>
  <si>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</si>
  <si>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</si>
  <si>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</si>
  <si>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</si>
  <si>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</si>
  <si>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</si>
  <si>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</si>
  <si>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</si>
  <si>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</si>
  <si>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</si>
  <si>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</si>
  <si>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</si>
  <si>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</si>
  <si>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</si>
  <si>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</si>
  <si>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</si>
  <si>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</si>
  <si>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</si>
  <si>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</si>
  <si>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</si>
  <si>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</si>
  <si>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</si>
  <si>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</si>
  <si>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</si>
  <si>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</si>
  <si>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</si>
  <si>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</si>
  <si>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</si>
  <si>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</si>
  <si>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</si>
  <si>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</si>
  <si>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</si>
  <si>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</si>
  <si>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</si>
  <si>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</si>
  <si>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</si>
  <si>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</si>
  <si>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</si>
  <si>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</si>
  <si>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</si>
  <si>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</si>
  <si>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</si>
  <si>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</si>
  <si>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</si>
  <si>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</si>
  <si>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</si>
  <si>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</si>
  <si>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</si>
  <si>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</si>
  <si>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</si>
  <si>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</si>
  <si>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</si>
  <si>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</si>
  <si>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</si>
  <si>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</si>
  <si>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</si>
  <si>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</si>
  <si>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</si>
  <si>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</si>
  <si>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</si>
  <si>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</si>
  <si>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</si>
  <si>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</si>
  <si>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</si>
  <si>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</si>
  <si>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</si>
  <si>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</si>
  <si>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</si>
  <si>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</si>
  <si>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</si>
  <si>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</si>
  <si>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</si>
  <si>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</si>
  <si>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</si>
  <si>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</si>
  <si>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</si>
  <si>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</si>
  <si>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</si>
  <si>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</si>
  <si>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</si>
  <si>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</si>
  <si>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</si>
  <si>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</si>
  <si>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</si>
  <si>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</si>
  <si>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</si>
  <si>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</si>
  <si>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</si>
  <si>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</si>
  <si>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</si>
  <si>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</si>
  <si>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</si>
  <si>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</si>
  <si>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</si>
  <si>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</si>
  <si>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</si>
  <si>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</si>
  <si>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</si>
  <si>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</si>
  <si>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</si>
  <si>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</si>
  <si>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</si>
  <si>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</si>
  <si>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</si>
  <si>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</si>
  <si>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</si>
  <si>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</si>
  <si>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</si>
  <si>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</si>
  <si>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</si>
  <si>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</si>
  <si>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</si>
  <si>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</si>
  <si>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</si>
  <si>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</si>
  <si>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</si>
  <si>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</si>
  <si>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</si>
  <si>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</si>
  <si>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</si>
  <si>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</si>
  <si>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</si>
  <si>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</si>
  <si>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</si>
  <si>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</si>
  <si>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</si>
  <si>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</si>
  <si>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</si>
  <si>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</si>
  <si>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</si>
  <si>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</si>
  <si>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</si>
  <si>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</si>
  <si>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</si>
  <si>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</si>
  <si>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</si>
  <si>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</si>
  <si>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</si>
  <si>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</si>
  <si>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</si>
  <si>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</si>
  <si>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</si>
  <si>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</si>
  <si>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</si>
  <si>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</si>
  <si>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</si>
  <si>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</si>
  <si>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</si>
  <si>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</si>
  <si>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</si>
  <si>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</si>
  <si>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</si>
  <si>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</si>
  <si>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</si>
  <si>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</si>
  <si>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</si>
  <si>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</si>
  <si>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</si>
  <si>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</si>
  <si>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</si>
  <si>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</si>
  <si>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</si>
  <si>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</si>
  <si>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</si>
  <si>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</si>
  <si>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</si>
  <si>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</si>
  <si>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</si>
  <si>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</si>
  <si>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</si>
  <si>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</si>
  <si>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</si>
  <si>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</si>
  <si>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</si>
  <si>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</si>
  <si>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</si>
  <si>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</si>
  <si>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</si>
  <si>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</si>
  <si>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</si>
  <si>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</si>
  <si>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</si>
  <si>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</si>
  <si>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Fechas de pago y días de intereses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</si>
  <si>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</si>
  <si>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</si>
  <si>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</si>
  <si>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</si>
  <si>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Fechas Pago Mensual AET</t>
  </si>
  <si>
    <t>Duración Intereses Mensual AET</t>
  </si>
  <si>
    <t>Parámetros</t>
  </si>
  <si>
    <t>Fecha Cotización</t>
  </si>
  <si>
    <t>Día Cotización</t>
  </si>
  <si>
    <t>DIA_CORTE_ANIVERSARIO</t>
  </si>
  <si>
    <t>DIAS_BASE_INTERES</t>
  </si>
  <si>
    <t>DIAS_LIMITE</t>
  </si>
  <si>
    <t>CORTE_1</t>
  </si>
  <si>
    <t>CORTE_2</t>
  </si>
  <si>
    <t>Etiqueta Fechas Pago</t>
  </si>
  <si>
    <t>Fechas Pago</t>
  </si>
  <si>
    <t>Constantes Mensual AET</t>
  </si>
  <si>
    <t>Búsqueda Fechas Pago</t>
  </si>
  <si>
    <t xml:space="preserve">Búsqueda Duración </t>
  </si>
  <si>
    <t>Etiqueta Duración</t>
  </si>
  <si>
    <t>L. 1er Pago Mayor</t>
  </si>
  <si>
    <t>Alambra las Fechas de Pago de la Tabla Cliente a la columna correspondiente de los Resultados de la hoja de Fechas.</t>
  </si>
  <si>
    <t>Resultados</t>
  </si>
  <si>
    <t>Cálculos para Frecuencias Individuales</t>
  </si>
</sst>
</file>

<file path=xl/styles.xml><?xml version="1.0" encoding="utf-8"?>
<styleSheet xmlns="http://schemas.openxmlformats.org/spreadsheetml/2006/main">
  <numFmts count="32">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80" formatCode="0.0000000000"/>
    <numFmt numFmtId="181" formatCode="0.000000000000"/>
    <numFmt numFmtId="182" formatCode="&quot;[&quot;\ #,##0.00\ &quot;]&quot;"/>
    <numFmt numFmtId="183" formatCode="0_ ;[Red]\-0\ "/>
    <numFmt numFmtId="184" formatCode="#,##0.000"/>
    <numFmt numFmtId="185" formatCode="dd/mmm/yyyy"/>
    <numFmt numFmtId="186" formatCode="#,##0.0"/>
    <numFmt numFmtId="187" formatCode="#,##0.00000_ ;\-#,##0.00000\ "/>
    <numFmt numFmtId="188" formatCode="&quot;$&quot;#,##0.00"/>
    <numFmt numFmtId="189" formatCode="#,##0_ ;\-#,##0\ "/>
    <numFmt numFmtId="190" formatCode="#,##0.000000"/>
    <numFmt numFmtId="191" formatCode="0.0"/>
    <numFmt numFmtId="192" formatCode="&quot;Sufijo:&quot;\ @"/>
    <numFmt numFmtId="193" formatCode="&quot;Versión MCA:&quot;\ @"/>
    <numFmt numFmtId="194" formatCode="&quot;Mensaje de cierre: &quot;\ @"/>
    <numFmt numFmtId="195" formatCode="&quot;[&quot;\ @\ &quot;]&quot;"/>
    <numFmt numFmtId="196" formatCode="0.00\ %"/>
  </numFmts>
  <fonts count="115">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5"/>
      <color indexed="56"/>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b/>
      <i/>
      <sz val="11"/>
      <color indexed="56"/>
      <name val="Calibri"/>
      <family val="2"/>
    </font>
    <font>
      <sz val="11"/>
      <color indexed="55"/>
      <name val="Calibri"/>
      <family val="2"/>
    </font>
    <font>
      <i/>
      <sz val="11"/>
      <color indexed="8"/>
      <name val="Calibri"/>
      <family val="2"/>
    </font>
    <font>
      <b/>
      <u/>
      <sz val="11"/>
      <color indexed="12"/>
      <name val="Calibri"/>
      <family val="2"/>
    </font>
    <font>
      <sz val="11"/>
      <color indexed="23"/>
      <name val="Calibri"/>
      <family val="2"/>
    </font>
    <font>
      <b/>
      <sz val="15"/>
      <color indexed="9"/>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8"/>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s>
  <fills count="41">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31"/>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indexed="9"/>
        <bgColor indexed="64"/>
      </patternFill>
    </fill>
    <fill>
      <patternFill patternType="darkDown">
        <fgColor indexed="47"/>
        <bgColor indexed="26"/>
      </patternFill>
    </fill>
    <fill>
      <patternFill patternType="solid">
        <fgColor indexed="45"/>
        <bgColor indexed="64"/>
      </patternFill>
    </fill>
    <fill>
      <patternFill patternType="solid">
        <fgColor indexed="52"/>
        <bgColor indexed="64"/>
      </patternFill>
    </fill>
    <fill>
      <patternFill patternType="solid">
        <fgColor indexed="30"/>
        <bgColor indexed="64"/>
      </patternFill>
    </fill>
    <fill>
      <patternFill patternType="solid">
        <fgColor indexed="18"/>
        <bgColor indexed="64"/>
      </patternFill>
    </fill>
    <fill>
      <patternFill patternType="darkUp">
        <fgColor indexed="22"/>
        <bgColor indexed="26"/>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s>
  <borders count="76">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thin">
        <color indexed="55"/>
      </left>
      <right style="thin">
        <color indexed="55"/>
      </right>
      <top/>
      <bottom/>
      <diagonal/>
    </border>
    <border>
      <left style="thin">
        <color indexed="55"/>
      </left>
      <right style="thin">
        <color indexed="55"/>
      </right>
      <top/>
      <bottom style="thin">
        <color indexed="55"/>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s>
  <cellStyleXfs count="34">
    <xf numFmtId="0" fontId="0" fillId="0" borderId="0"/>
    <xf numFmtId="167" fontId="9" fillId="0" borderId="0" applyFont="0" applyFill="0" applyBorder="0" applyAlignment="0" applyProtection="0"/>
    <xf numFmtId="167" fontId="3" fillId="0" borderId="0" applyFont="0" applyFill="0" applyBorder="0" applyAlignment="0" applyProtection="0"/>
    <xf numFmtId="167" fontId="42"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5" fillId="0" borderId="61" applyNumberFormat="0" applyFill="0" applyAlignment="0" applyProtection="0"/>
    <xf numFmtId="0" fontId="46" fillId="0" borderId="62" applyNumberFormat="0" applyFill="0" applyAlignment="0" applyProtection="0"/>
    <xf numFmtId="0" fontId="47" fillId="0" borderId="63" applyNumberFormat="0" applyFill="0" applyAlignment="0" applyProtection="0"/>
    <xf numFmtId="0" fontId="48" fillId="0" borderId="0" applyNumberFormat="0" applyFill="0" applyBorder="0" applyAlignment="0" applyProtection="0">
      <alignment vertical="top"/>
      <protection locked="0"/>
    </xf>
    <xf numFmtId="167" fontId="3" fillId="0" borderId="0" applyFont="0" applyFill="0" applyBorder="0" applyAlignment="0" applyProtection="0"/>
    <xf numFmtId="167" fontId="42"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6"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42" fillId="0" borderId="0"/>
    <xf numFmtId="0" fontId="3" fillId="0" borderId="0"/>
    <xf numFmtId="0" fontId="26" fillId="0" borderId="0"/>
    <xf numFmtId="0" fontId="42" fillId="0" borderId="0"/>
    <xf numFmtId="0" fontId="39" fillId="0" borderId="0"/>
    <xf numFmtId="0" fontId="3" fillId="0" borderId="0"/>
    <xf numFmtId="0" fontId="25" fillId="0" borderId="0"/>
    <xf numFmtId="9" fontId="9" fillId="0" borderId="0" applyFont="0" applyFill="0" applyBorder="0" applyAlignment="0" applyProtection="0"/>
    <xf numFmtId="9" fontId="3" fillId="0" borderId="0" applyFont="0" applyFill="0" applyBorder="0" applyAlignment="0" applyProtection="0"/>
    <xf numFmtId="9" fontId="4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6" fillId="0" borderId="0" applyFont="0" applyFill="0" applyBorder="0" applyAlignment="0" applyProtection="0"/>
    <xf numFmtId="9" fontId="42" fillId="0" borderId="0" applyFont="0" applyFill="0" applyBorder="0" applyAlignment="0" applyProtection="0"/>
    <xf numFmtId="0" fontId="106" fillId="0" borderId="0" applyNumberFormat="0" applyFill="0" applyBorder="0" applyAlignment="0" applyProtection="0">
      <alignment vertical="top"/>
      <protection locked="0"/>
    </xf>
  </cellStyleXfs>
  <cellXfs count="951">
    <xf numFmtId="0" fontId="0" fillId="0" borderId="0" xfId="0"/>
    <xf numFmtId="0" fontId="12" fillId="0" borderId="0" xfId="0" applyFont="1"/>
    <xf numFmtId="0" fontId="13" fillId="2" borderId="2" xfId="0" applyFont="1" applyFill="1" applyBorder="1" applyAlignment="1">
      <alignment horizontal="center"/>
    </xf>
    <xf numFmtId="0" fontId="14"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5"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5" fillId="3" borderId="8" xfId="0" applyFont="1" applyFill="1" applyBorder="1" applyAlignment="1">
      <alignment horizontal="center"/>
    </xf>
    <xf numFmtId="0" fontId="0" fillId="3" borderId="8" xfId="0" applyFill="1" applyBorder="1" applyAlignment="1">
      <alignment horizontal="center"/>
    </xf>
    <xf numFmtId="0" fontId="45" fillId="0" borderId="61" xfId="6"/>
    <xf numFmtId="0" fontId="12" fillId="3" borderId="2" xfId="0" applyFont="1" applyFill="1" applyBorder="1" applyAlignment="1">
      <alignment horizontal="center"/>
    </xf>
    <xf numFmtId="0" fontId="0" fillId="0" borderId="0" xfId="0" applyAlignment="1">
      <alignment horizontal="center"/>
    </xf>
    <xf numFmtId="0" fontId="16"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5" fillId="3" borderId="1" xfId="0" applyNumberFormat="1" applyFont="1" applyFill="1" applyBorder="1" applyAlignment="1">
      <alignment horizontal="center"/>
    </xf>
    <xf numFmtId="0" fontId="15"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3"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2" fillId="0" borderId="0" xfId="0" applyFont="1" applyAlignment="1">
      <alignment horizontal="center"/>
    </xf>
    <xf numFmtId="0" fontId="12" fillId="0" borderId="2" xfId="0" applyFont="1" applyBorder="1" applyAlignment="1">
      <alignment horizontal="center"/>
    </xf>
    <xf numFmtId="0" fontId="15" fillId="0" borderId="0" xfId="0" applyFont="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5"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5"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5"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2" fillId="3" borderId="19" xfId="0" applyFont="1" applyFill="1" applyBorder="1" applyAlignment="1">
      <alignment horizontal="center"/>
    </xf>
    <xf numFmtId="0" fontId="12" fillId="3" borderId="20" xfId="0" applyFont="1" applyFill="1" applyBorder="1" applyAlignment="1">
      <alignment horizontal="center"/>
    </xf>
    <xf numFmtId="0" fontId="0" fillId="3" borderId="0" xfId="0" applyFill="1" applyAlignment="1">
      <alignment horizontal="center"/>
    </xf>
    <xf numFmtId="0" fontId="0" fillId="3" borderId="0" xfId="0" applyFill="1"/>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2" fillId="0" borderId="19" xfId="0" applyFont="1" applyBorder="1" applyAlignment="1">
      <alignment horizontal="center"/>
    </xf>
    <xf numFmtId="164" fontId="12"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2"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5" fillId="0" borderId="61" xfId="6" applyAlignment="1">
      <alignment horizontal="center"/>
    </xf>
    <xf numFmtId="0" fontId="12" fillId="0" borderId="0" xfId="0" applyFont="1" applyAlignment="1">
      <alignment horizontal="left"/>
    </xf>
    <xf numFmtId="4" fontId="12" fillId="0" borderId="0" xfId="0" applyNumberFormat="1" applyFont="1" applyAlignment="1">
      <alignment horizontal="center"/>
    </xf>
    <xf numFmtId="177" fontId="17" fillId="0" borderId="0" xfId="0" applyNumberFormat="1" applyFont="1" applyFill="1" applyBorder="1" applyAlignment="1">
      <alignment horizontal="center"/>
    </xf>
    <xf numFmtId="4" fontId="0" fillId="0" borderId="0" xfId="0" applyNumberFormat="1" applyFont="1" applyAlignment="1">
      <alignment horizontal="center"/>
    </xf>
    <xf numFmtId="0" fontId="13" fillId="2" borderId="2" xfId="0" applyFont="1" applyFill="1" applyBorder="1" applyAlignment="1">
      <alignment horizontal="center" vertical="center" wrapText="1"/>
    </xf>
    <xf numFmtId="0" fontId="0" fillId="0" borderId="0" xfId="0" applyAlignment="1">
      <alignment horizontal="center" vertical="center" wrapText="1"/>
    </xf>
    <xf numFmtId="4" fontId="13" fillId="2" borderId="2" xfId="0" applyNumberFormat="1" applyFont="1" applyFill="1" applyBorder="1" applyAlignment="1">
      <alignment horizontal="center" vertical="center" wrapText="1"/>
    </xf>
    <xf numFmtId="0" fontId="13" fillId="5" borderId="2" xfId="0" applyFont="1" applyFill="1" applyBorder="1" applyAlignment="1">
      <alignment horizontal="center" vertical="center" wrapText="1"/>
    </xf>
    <xf numFmtId="4" fontId="13" fillId="4" borderId="2" xfId="0" applyNumberFormat="1" applyFont="1" applyFill="1" applyBorder="1" applyAlignment="1">
      <alignment horizontal="center" vertical="center" wrapText="1"/>
    </xf>
    <xf numFmtId="4" fontId="45" fillId="0" borderId="61"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13" fillId="4" borderId="2" xfId="0" applyFont="1" applyFill="1" applyBorder="1" applyAlignment="1">
      <alignment horizontal="center" vertical="center" wrapText="1"/>
    </xf>
    <xf numFmtId="0" fontId="0" fillId="0" borderId="0" xfId="0" applyFont="1" applyAlignment="1">
      <alignment horizontal="center"/>
    </xf>
    <xf numFmtId="0" fontId="18" fillId="0" borderId="0" xfId="0" applyFont="1" applyAlignment="1">
      <alignment horizontal="center"/>
    </xf>
    <xf numFmtId="4" fontId="18" fillId="0" borderId="0" xfId="0" applyNumberFormat="1" applyFont="1" applyAlignment="1">
      <alignment horizontal="center"/>
    </xf>
    <xf numFmtId="0" fontId="0" fillId="0" borderId="0" xfId="0" quotePrefix="1" applyAlignment="1">
      <alignment horizontal="center"/>
    </xf>
    <xf numFmtId="0" fontId="19" fillId="0" borderId="0" xfId="0" applyFont="1" applyAlignment="1">
      <alignment horizontal="center" vertical="center" shrinkToFit="1"/>
    </xf>
    <xf numFmtId="180" fontId="0" fillId="0" borderId="0" xfId="0" applyNumberFormat="1" applyAlignment="1">
      <alignment horizontal="center"/>
    </xf>
    <xf numFmtId="181" fontId="0" fillId="0" borderId="0" xfId="0" applyNumberFormat="1" applyAlignment="1">
      <alignment horizontal="center"/>
    </xf>
    <xf numFmtId="4" fontId="0" fillId="0" borderId="0" xfId="0" applyNumberFormat="1"/>
    <xf numFmtId="0" fontId="0" fillId="0" borderId="0" xfId="0" applyFill="1" applyAlignment="1">
      <alignment horizontal="center"/>
    </xf>
    <xf numFmtId="0" fontId="0" fillId="0" borderId="0" xfId="0" applyFont="1"/>
    <xf numFmtId="4" fontId="17" fillId="0" borderId="0" xfId="0" applyNumberFormat="1" applyFont="1" applyAlignment="1">
      <alignment horizontal="center"/>
    </xf>
    <xf numFmtId="4" fontId="45" fillId="0" borderId="61" xfId="6" applyNumberFormat="1" applyAlignment="1"/>
    <xf numFmtId="177" fontId="17" fillId="0" borderId="0" xfId="0" applyNumberFormat="1" applyFont="1" applyAlignment="1"/>
    <xf numFmtId="0" fontId="0" fillId="0" borderId="0" xfId="0" applyFont="1" applyAlignment="1">
      <alignment vertical="center"/>
    </xf>
    <xf numFmtId="0" fontId="45" fillId="0" borderId="61" xfId="6" applyNumberFormat="1"/>
    <xf numFmtId="176" fontId="0" fillId="0" borderId="0" xfId="0" applyNumberFormat="1"/>
    <xf numFmtId="176" fontId="0" fillId="0" borderId="0" xfId="0" applyNumberFormat="1" applyFont="1"/>
    <xf numFmtId="10" fontId="0" fillId="0" borderId="2" xfId="0" applyNumberFormat="1" applyBorder="1"/>
    <xf numFmtId="165" fontId="13" fillId="2" borderId="2" xfId="0" applyNumberFormat="1" applyFont="1" applyFill="1" applyBorder="1" applyAlignment="1">
      <alignment horizontal="center"/>
    </xf>
    <xf numFmtId="0" fontId="0" fillId="0" borderId="27" xfId="0" applyBorder="1"/>
    <xf numFmtId="0" fontId="0" fillId="0" borderId="28" xfId="0" applyBorder="1"/>
    <xf numFmtId="0" fontId="20" fillId="0" borderId="0" xfId="0" applyFont="1"/>
    <xf numFmtId="176" fontId="0" fillId="0" borderId="0" xfId="0" applyNumberFormat="1" applyAlignment="1">
      <alignment horizontal="center"/>
    </xf>
    <xf numFmtId="183" fontId="0" fillId="0" borderId="0" xfId="0" applyNumberFormat="1"/>
    <xf numFmtId="0" fontId="12" fillId="0" borderId="29" xfId="0" applyFont="1" applyBorder="1"/>
    <xf numFmtId="0" fontId="0" fillId="0" borderId="29" xfId="0" applyBorder="1"/>
    <xf numFmtId="182" fontId="0" fillId="0" borderId="2" xfId="0" applyNumberFormat="1" applyBorder="1" applyAlignment="1">
      <alignment horizontal="center"/>
    </xf>
    <xf numFmtId="0" fontId="12" fillId="3" borderId="0" xfId="0" applyFont="1" applyFill="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3" fillId="6" borderId="2" xfId="0" applyNumberFormat="1" applyFont="1" applyFill="1" applyBorder="1" applyAlignment="1">
      <alignment horizontal="center"/>
    </xf>
    <xf numFmtId="2" fontId="0" fillId="0" borderId="27" xfId="0" applyNumberFormat="1" applyBorder="1" applyAlignment="1">
      <alignment horizontal="center"/>
    </xf>
    <xf numFmtId="0" fontId="12" fillId="0" borderId="22" xfId="0" applyFont="1" applyBorder="1"/>
    <xf numFmtId="0" fontId="12" fillId="0" borderId="26" xfId="0" applyFont="1" applyBorder="1" applyAlignment="1">
      <alignment horizontal="center"/>
    </xf>
    <xf numFmtId="0" fontId="12" fillId="7" borderId="22" xfId="0" applyFont="1" applyFill="1" applyBorder="1"/>
    <xf numFmtId="0" fontId="12" fillId="0" borderId="17" xfId="0" applyFont="1" applyBorder="1" applyAlignment="1">
      <alignment horizontal="center"/>
    </xf>
    <xf numFmtId="0" fontId="17" fillId="0" borderId="12" xfId="0" applyFont="1" applyBorder="1"/>
    <xf numFmtId="0" fontId="17" fillId="0" borderId="13" xfId="0" quotePrefix="1" applyFont="1" applyBorder="1"/>
    <xf numFmtId="184" fontId="0" fillId="0" borderId="0" xfId="0" quotePrefix="1" applyNumberFormat="1" applyBorder="1" applyAlignment="1">
      <alignment horizontal="center"/>
    </xf>
    <xf numFmtId="0" fontId="12" fillId="0" borderId="13" xfId="0" applyFont="1" applyBorder="1" applyAlignment="1">
      <alignment horizontal="center"/>
    </xf>
    <xf numFmtId="0" fontId="0" fillId="0" borderId="14" xfId="0" applyBorder="1" applyAlignment="1">
      <alignment horizontal="center"/>
    </xf>
    <xf numFmtId="0" fontId="12"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5"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4" fontId="0" fillId="8" borderId="0" xfId="0" quotePrefix="1" applyNumberFormat="1" applyFill="1" applyBorder="1" applyAlignment="1">
      <alignment horizontal="center"/>
    </xf>
    <xf numFmtId="184" fontId="0" fillId="0" borderId="15" xfId="0" quotePrefix="1" applyNumberFormat="1" applyBorder="1" applyAlignment="1">
      <alignment horizontal="center"/>
    </xf>
    <xf numFmtId="184"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4" fontId="0" fillId="2" borderId="15" xfId="0" applyNumberFormat="1" applyFill="1" applyBorder="1" applyAlignment="1">
      <alignment horizontal="center"/>
    </xf>
    <xf numFmtId="171" fontId="9" fillId="9" borderId="14" xfId="25" applyNumberFormat="1" applyFont="1" applyFill="1" applyBorder="1" applyAlignment="1">
      <alignment horizontal="center"/>
    </xf>
    <xf numFmtId="0" fontId="0" fillId="9" borderId="15" xfId="0" applyFill="1" applyBorder="1" applyAlignment="1">
      <alignment horizontal="center"/>
    </xf>
    <xf numFmtId="184" fontId="0" fillId="9" borderId="14" xfId="0" quotePrefix="1" applyNumberFormat="1" applyFill="1" applyBorder="1" applyAlignment="1">
      <alignment horizontal="center"/>
    </xf>
    <xf numFmtId="184" fontId="0" fillId="9" borderId="15" xfId="0" applyNumberFormat="1" applyFill="1" applyBorder="1" applyAlignment="1">
      <alignment horizontal="center"/>
    </xf>
    <xf numFmtId="184" fontId="0" fillId="8" borderId="15" xfId="0" applyNumberFormat="1" applyFill="1" applyBorder="1" applyAlignment="1">
      <alignment horizontal="center"/>
    </xf>
    <xf numFmtId="0" fontId="0" fillId="9"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4" fontId="0" fillId="2" borderId="14" xfId="0" applyNumberFormat="1" applyFill="1" applyBorder="1" applyAlignment="1">
      <alignment horizontal="center"/>
    </xf>
    <xf numFmtId="184" fontId="0" fillId="2" borderId="0" xfId="0" applyNumberFormat="1" applyFill="1" applyBorder="1" applyAlignment="1">
      <alignment horizontal="center"/>
    </xf>
    <xf numFmtId="184" fontId="0" fillId="0" borderId="31" xfId="0" quotePrefix="1" applyNumberFormat="1" applyBorder="1" applyAlignment="1">
      <alignment horizontal="center"/>
    </xf>
    <xf numFmtId="184" fontId="0" fillId="0" borderId="32" xfId="0" quotePrefix="1" applyNumberFormat="1" applyBorder="1" applyAlignment="1">
      <alignment horizontal="center"/>
    </xf>
    <xf numFmtId="0" fontId="10" fillId="10"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7" fontId="9" fillId="0" borderId="15" xfId="1" applyNumberFormat="1" applyFont="1" applyBorder="1" applyAlignment="1">
      <alignment horizontal="center"/>
    </xf>
    <xf numFmtId="187" fontId="9" fillId="0" borderId="17" xfId="1" quotePrefix="1" applyNumberFormat="1" applyFont="1" applyBorder="1" applyAlignment="1">
      <alignment horizontal="center"/>
    </xf>
    <xf numFmtId="0" fontId="12" fillId="0" borderId="15" xfId="0" applyFont="1" applyBorder="1" applyAlignment="1">
      <alignment horizontal="center"/>
    </xf>
    <xf numFmtId="184" fontId="0" fillId="0" borderId="0" xfId="0" quotePrefix="1" applyNumberFormat="1" applyFill="1" applyBorder="1" applyAlignment="1">
      <alignment horizontal="center"/>
    </xf>
    <xf numFmtId="184"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4" fontId="12" fillId="0" borderId="22" xfId="0" applyNumberFormat="1" applyFont="1" applyBorder="1" applyAlignment="1">
      <alignment horizontal="center"/>
    </xf>
    <xf numFmtId="184" fontId="12" fillId="0" borderId="30" xfId="0" applyNumberFormat="1" applyFont="1" applyFill="1" applyBorder="1" applyAlignment="1">
      <alignment horizontal="center"/>
    </xf>
    <xf numFmtId="184" fontId="0" fillId="0" borderId="26" xfId="0" applyNumberFormat="1" applyFill="1" applyBorder="1" applyAlignment="1">
      <alignment horizontal="center"/>
    </xf>
    <xf numFmtId="0" fontId="15" fillId="0" borderId="14" xfId="0" applyFont="1" applyBorder="1" applyAlignment="1">
      <alignment horizontal="right"/>
    </xf>
    <xf numFmtId="0" fontId="15" fillId="0" borderId="15" xfId="0" applyFont="1" applyBorder="1" applyAlignment="1">
      <alignment horizontal="center"/>
    </xf>
    <xf numFmtId="0" fontId="15" fillId="0" borderId="14" xfId="0" applyFont="1" applyFill="1" applyBorder="1" applyAlignment="1">
      <alignment horizontal="right"/>
    </xf>
    <xf numFmtId="3" fontId="15" fillId="0" borderId="15" xfId="0" quotePrefix="1" applyNumberFormat="1" applyFont="1" applyBorder="1" applyAlignment="1">
      <alignment horizontal="center"/>
    </xf>
    <xf numFmtId="0" fontId="10" fillId="10"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8"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21" fillId="2" borderId="2" xfId="9" applyFont="1" applyFill="1" applyBorder="1" applyAlignment="1" applyProtection="1">
      <alignment horizontal="center"/>
    </xf>
    <xf numFmtId="0" fontId="12"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7" borderId="26" xfId="0" applyFont="1" applyFill="1" applyBorder="1" applyAlignment="1">
      <alignment horizontal="center" shrinkToFit="1"/>
    </xf>
    <xf numFmtId="175" fontId="9" fillId="0" borderId="20" xfId="1" applyNumberFormat="1" applyFont="1" applyBorder="1" applyAlignment="1">
      <alignment horizontal="right" indent="2"/>
    </xf>
    <xf numFmtId="175" fontId="12" fillId="3" borderId="20" xfId="0" applyNumberFormat="1" applyFont="1" applyFill="1" applyBorder="1" applyAlignment="1">
      <alignment horizontal="right" indent="2"/>
    </xf>
    <xf numFmtId="0" fontId="15" fillId="3" borderId="15" xfId="0" applyFont="1" applyFill="1" applyBorder="1"/>
    <xf numFmtId="0" fontId="0" fillId="0" borderId="15" xfId="0" applyFill="1" applyBorder="1"/>
    <xf numFmtId="0" fontId="15" fillId="0" borderId="15" xfId="0" applyFont="1" applyBorder="1"/>
    <xf numFmtId="0" fontId="15" fillId="0" borderId="27" xfId="0" applyNumberFormat="1" applyFont="1" applyBorder="1" applyAlignment="1">
      <alignment horizontal="center"/>
    </xf>
    <xf numFmtId="0" fontId="15" fillId="0" borderId="25" xfId="0" applyNumberFormat="1" applyFont="1" applyBorder="1" applyAlignment="1">
      <alignment horizontal="center"/>
    </xf>
    <xf numFmtId="0" fontId="15" fillId="0" borderId="25" xfId="0" applyNumberFormat="1" applyFont="1" applyBorder="1" applyAlignment="1">
      <alignment horizontal="center" shrinkToFit="1"/>
    </xf>
    <xf numFmtId="185" fontId="15" fillId="0" borderId="25" xfId="0" applyNumberFormat="1" applyFont="1" applyBorder="1" applyAlignment="1">
      <alignment horizontal="center"/>
    </xf>
    <xf numFmtId="4" fontId="15" fillId="0" borderId="25" xfId="0" applyNumberFormat="1" applyFont="1" applyBorder="1" applyAlignment="1">
      <alignment horizontal="center"/>
    </xf>
    <xf numFmtId="10" fontId="15" fillId="0" borderId="25" xfId="0" applyNumberFormat="1" applyFont="1" applyBorder="1" applyAlignment="1">
      <alignment horizontal="center"/>
    </xf>
    <xf numFmtId="4" fontId="15" fillId="0" borderId="28" xfId="0" applyNumberFormat="1" applyFont="1" applyBorder="1" applyAlignment="1">
      <alignment horizontal="center"/>
    </xf>
    <xf numFmtId="0" fontId="15" fillId="0" borderId="27" xfId="0" applyFont="1" applyBorder="1" applyAlignment="1">
      <alignment horizontal="left"/>
    </xf>
    <xf numFmtId="0" fontId="15" fillId="0" borderId="25" xfId="0" applyFont="1" applyBorder="1" applyAlignment="1">
      <alignment horizontal="left"/>
    </xf>
    <xf numFmtId="0" fontId="15" fillId="0" borderId="28" xfId="0" applyFont="1" applyBorder="1" applyAlignment="1">
      <alignment horizontal="left"/>
    </xf>
    <xf numFmtId="0" fontId="15"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5" fillId="3" borderId="25" xfId="0" applyFont="1" applyFill="1" applyBorder="1" applyAlignment="1">
      <alignment horizontal="right" indent="1"/>
    </xf>
    <xf numFmtId="0" fontId="15" fillId="0" borderId="25" xfId="0" applyFont="1" applyBorder="1" applyAlignment="1">
      <alignment horizontal="right" indent="1"/>
    </xf>
    <xf numFmtId="0" fontId="0" fillId="0" borderId="28" xfId="0" applyBorder="1" applyAlignment="1">
      <alignment horizontal="right" indent="1"/>
    </xf>
    <xf numFmtId="0" fontId="12" fillId="0" borderId="0" xfId="0" applyFont="1" applyAlignment="1"/>
    <xf numFmtId="0" fontId="0" fillId="0" borderId="15" xfId="0" quotePrefix="1" applyBorder="1" applyAlignment="1"/>
    <xf numFmtId="0" fontId="0" fillId="0" borderId="17" xfId="0" applyBorder="1" applyAlignment="1"/>
    <xf numFmtId="0" fontId="46" fillId="0" borderId="62" xfId="7"/>
    <xf numFmtId="0" fontId="46" fillId="0" borderId="62"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2" fillId="7" borderId="26" xfId="0" applyFont="1" applyFill="1" applyBorder="1" applyAlignment="1">
      <alignment horizontal="center" shrinkToFit="1"/>
    </xf>
    <xf numFmtId="0" fontId="0" fillId="0" borderId="13" xfId="0" applyBorder="1" applyAlignment="1">
      <alignment shrinkToFit="1"/>
    </xf>
    <xf numFmtId="0" fontId="12" fillId="7" borderId="26" xfId="0" applyFont="1" applyFill="1" applyBorder="1" applyAlignment="1">
      <alignment shrinkToFit="1"/>
    </xf>
    <xf numFmtId="0" fontId="12" fillId="0" borderId="0" xfId="0" applyFont="1" applyAlignment="1">
      <alignment horizontal="left" vertical="center"/>
    </xf>
    <xf numFmtId="0" fontId="0" fillId="0" borderId="0" xfId="0" applyFont="1" applyAlignment="1">
      <alignment horizontal="center" vertical="center"/>
    </xf>
    <xf numFmtId="4" fontId="0" fillId="0" borderId="0" xfId="0" applyNumberFormat="1" applyAlignment="1">
      <alignment horizontal="left" vertical="center"/>
    </xf>
    <xf numFmtId="4" fontId="0" fillId="0" borderId="0" xfId="0" applyNumberFormat="1" applyFont="1" applyAlignment="1">
      <alignment horizontal="center" vertical="center"/>
    </xf>
    <xf numFmtId="167" fontId="9" fillId="0" borderId="0" xfId="1" applyFont="1"/>
    <xf numFmtId="190" fontId="0" fillId="0" borderId="0" xfId="0" applyNumberFormat="1" applyAlignment="1">
      <alignment horizontal="center"/>
    </xf>
    <xf numFmtId="4" fontId="0" fillId="11" borderId="45" xfId="0" applyNumberFormat="1" applyFill="1" applyBorder="1" applyAlignment="1">
      <alignment horizontal="center"/>
    </xf>
    <xf numFmtId="4" fontId="0" fillId="11" borderId="46" xfId="0" applyNumberFormat="1" applyFill="1" applyBorder="1" applyAlignment="1">
      <alignment horizontal="center"/>
    </xf>
    <xf numFmtId="4" fontId="0" fillId="11" borderId="47" xfId="0" applyNumberFormat="1" applyFill="1" applyBorder="1" applyAlignment="1">
      <alignment horizontal="center"/>
    </xf>
    <xf numFmtId="0" fontId="45" fillId="0" borderId="61" xfId="6" applyAlignment="1">
      <alignment horizontal="right"/>
    </xf>
    <xf numFmtId="4" fontId="0" fillId="0" borderId="0" xfId="0" applyNumberFormat="1" applyFont="1" applyAlignment="1">
      <alignment horizontal="left" vertical="center"/>
    </xf>
    <xf numFmtId="0" fontId="45" fillId="3" borderId="61" xfId="6" applyFill="1" applyAlignment="1">
      <alignment horizontal="center"/>
    </xf>
    <xf numFmtId="0" fontId="45" fillId="0" borderId="61" xfId="6" applyAlignment="1">
      <alignment horizontal="left"/>
    </xf>
    <xf numFmtId="0" fontId="0" fillId="3" borderId="0" xfId="0" applyFont="1" applyFill="1" applyAlignment="1">
      <alignment horizontal="center"/>
    </xf>
    <xf numFmtId="0" fontId="0" fillId="3" borderId="0" xfId="0" applyFont="1" applyFill="1" applyAlignment="1">
      <alignment horizontal="center" vertical="center"/>
    </xf>
    <xf numFmtId="0" fontId="12" fillId="3" borderId="0" xfId="0" applyFont="1" applyFill="1" applyAlignment="1">
      <alignment horizontal="center" vertical="center"/>
    </xf>
    <xf numFmtId="0" fontId="0" fillId="3" borderId="0" xfId="0" applyFill="1" applyAlignment="1">
      <alignment horizontal="center" vertical="center" wrapText="1"/>
    </xf>
    <xf numFmtId="0" fontId="13" fillId="4" borderId="22" xfId="0" applyFont="1" applyFill="1" applyBorder="1" applyAlignment="1">
      <alignment horizontal="center" vertical="center" wrapText="1"/>
    </xf>
    <xf numFmtId="0" fontId="13" fillId="12" borderId="2" xfId="0" applyFont="1" applyFill="1" applyBorder="1" applyAlignment="1">
      <alignment horizontal="center" vertical="center" wrapText="1"/>
    </xf>
    <xf numFmtId="175" fontId="9" fillId="13" borderId="0" xfId="1" applyNumberFormat="1" applyFont="1" applyFill="1" applyBorder="1" applyAlignment="1">
      <alignment horizontal="center"/>
    </xf>
    <xf numFmtId="4" fontId="0" fillId="0" borderId="0" xfId="0" applyNumberFormat="1" applyFont="1" applyAlignment="1">
      <alignment horizontal="left"/>
    </xf>
    <xf numFmtId="0" fontId="0" fillId="0" borderId="0" xfId="0" applyFont="1" applyAlignment="1">
      <alignment horizontal="left"/>
    </xf>
    <xf numFmtId="189" fontId="9" fillId="13" borderId="0" xfId="1" applyNumberFormat="1" applyFont="1" applyFill="1" applyBorder="1" applyAlignment="1">
      <alignment horizontal="center"/>
    </xf>
    <xf numFmtId="3" fontId="0" fillId="0" borderId="0" xfId="0" applyNumberFormat="1" applyFill="1" applyAlignment="1">
      <alignment horizontal="center"/>
    </xf>
    <xf numFmtId="176" fontId="0" fillId="0" borderId="0" xfId="0" applyNumberFormat="1" applyFill="1" applyAlignment="1">
      <alignment horizontal="center"/>
    </xf>
    <xf numFmtId="10" fontId="9" fillId="13" borderId="0" xfId="1" applyNumberFormat="1" applyFont="1" applyFill="1" applyBorder="1" applyAlignment="1">
      <alignment horizontal="center"/>
    </xf>
    <xf numFmtId="167" fontId="9" fillId="13" borderId="0" xfId="1" applyFont="1" applyFill="1" applyBorder="1" applyAlignment="1">
      <alignment horizontal="center"/>
    </xf>
    <xf numFmtId="0" fontId="12" fillId="3" borderId="0" xfId="0" applyFont="1" applyFill="1" applyAlignment="1">
      <alignment horizontal="left"/>
    </xf>
    <xf numFmtId="9" fontId="9" fillId="0" borderId="0" xfId="25" applyFont="1" applyFill="1" applyAlignment="1">
      <alignment horizontal="left"/>
    </xf>
    <xf numFmtId="175" fontId="9" fillId="0" borderId="0" xfId="1" applyNumberFormat="1" applyFont="1" applyFill="1" applyBorder="1" applyAlignment="1">
      <alignment horizontal="center"/>
    </xf>
    <xf numFmtId="0" fontId="22" fillId="0" borderId="0" xfId="0" applyFont="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176" fontId="15" fillId="0" borderId="0" xfId="0" applyNumberFormat="1" applyFont="1" applyAlignment="1">
      <alignment horizontal="center"/>
    </xf>
    <xf numFmtId="0" fontId="47" fillId="0" borderId="63" xfId="8"/>
    <xf numFmtId="4" fontId="11" fillId="14" borderId="61" xfId="6" applyNumberFormat="1" applyFont="1" applyFill="1" applyAlignment="1">
      <alignment horizontal="center"/>
    </xf>
    <xf numFmtId="4" fontId="11" fillId="15" borderId="61" xfId="6" applyNumberFormat="1" applyFont="1" applyFill="1" applyAlignment="1">
      <alignment horizontal="center"/>
    </xf>
    <xf numFmtId="4" fontId="45" fillId="0" borderId="61" xfId="6" applyNumberFormat="1" applyAlignment="1">
      <alignment horizontal="left"/>
    </xf>
    <xf numFmtId="4" fontId="17" fillId="0" borderId="0" xfId="0" applyNumberFormat="1" applyFont="1" applyFill="1" applyAlignment="1">
      <alignment horizontal="center"/>
    </xf>
    <xf numFmtId="4" fontId="15" fillId="0" borderId="0" xfId="0" applyNumberFormat="1" applyFont="1" applyFill="1" applyAlignment="1">
      <alignment horizontal="center"/>
    </xf>
    <xf numFmtId="0" fontId="22" fillId="0" borderId="0" xfId="0" applyFon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23" fillId="16" borderId="61" xfId="6" applyFont="1" applyFill="1" applyAlignment="1">
      <alignment horizontal="center"/>
    </xf>
    <xf numFmtId="180" fontId="12" fillId="3" borderId="22" xfId="0" applyNumberFormat="1" applyFont="1" applyFill="1" applyBorder="1" applyAlignment="1">
      <alignment horizontal="center"/>
    </xf>
    <xf numFmtId="180" fontId="12" fillId="3" borderId="30" xfId="0" applyNumberFormat="1" applyFont="1" applyFill="1" applyBorder="1" applyAlignment="1"/>
    <xf numFmtId="0" fontId="0" fillId="0" borderId="0" xfId="0" applyFont="1" applyFill="1" applyBorder="1" applyAlignment="1">
      <alignment horizontal="left"/>
    </xf>
    <xf numFmtId="190"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90" fontId="0" fillId="0" borderId="0" xfId="0" applyNumberFormat="1" applyFont="1" applyFill="1" applyAlignment="1">
      <alignment horizontal="center"/>
    </xf>
    <xf numFmtId="0" fontId="0" fillId="0" borderId="0" xfId="0" applyFont="1" applyFill="1" applyAlignment="1">
      <alignment horizontal="center"/>
    </xf>
    <xf numFmtId="0" fontId="0" fillId="13" borderId="0" xfId="0" applyFill="1" applyAlignment="1">
      <alignment horizontal="center"/>
    </xf>
    <xf numFmtId="0" fontId="9" fillId="0" borderId="0" xfId="1" applyNumberFormat="1" applyFont="1" applyFill="1" applyBorder="1" applyAlignment="1">
      <alignment horizontal="center"/>
    </xf>
    <xf numFmtId="0" fontId="0" fillId="0" borderId="12" xfId="0" applyFont="1" applyFill="1" applyBorder="1" applyAlignment="1">
      <alignment horizontal="left"/>
    </xf>
    <xf numFmtId="0" fontId="12" fillId="3" borderId="22" xfId="0" applyFont="1" applyFill="1" applyBorder="1" applyAlignment="1"/>
    <xf numFmtId="0" fontId="12" fillId="3" borderId="30" xfId="0" applyFont="1" applyFill="1" applyBorder="1" applyAlignment="1"/>
    <xf numFmtId="0" fontId="12" fillId="3" borderId="26" xfId="0" applyFont="1" applyFill="1" applyBorder="1" applyAlignment="1"/>
    <xf numFmtId="167" fontId="9" fillId="13" borderId="0" xfId="1" quotePrefix="1" applyFont="1" applyFill="1" applyBorder="1" applyAlignment="1">
      <alignment horizontal="center"/>
    </xf>
    <xf numFmtId="4" fontId="13" fillId="13" borderId="2" xfId="0" applyNumberFormat="1" applyFont="1" applyFill="1" applyBorder="1" applyAlignment="1">
      <alignment horizontal="center" vertical="center" wrapText="1"/>
    </xf>
    <xf numFmtId="0" fontId="13" fillId="13" borderId="2" xfId="0" applyFont="1" applyFill="1" applyBorder="1" applyAlignment="1">
      <alignment horizontal="center" vertical="center" wrapText="1"/>
    </xf>
    <xf numFmtId="0" fontId="13" fillId="17" borderId="2" xfId="0" applyFont="1" applyFill="1" applyBorder="1" applyAlignment="1">
      <alignment horizontal="center" vertical="center" wrapText="1"/>
    </xf>
    <xf numFmtId="4" fontId="0" fillId="13" borderId="0" xfId="0" applyNumberFormat="1" applyFill="1" applyAlignment="1">
      <alignment horizontal="center"/>
    </xf>
    <xf numFmtId="4" fontId="9" fillId="13" borderId="0" xfId="1" applyNumberFormat="1" applyFont="1" applyFill="1" applyBorder="1" applyAlignment="1">
      <alignment horizontal="center"/>
    </xf>
    <xf numFmtId="3" fontId="0" fillId="0" borderId="0" xfId="0" applyNumberFormat="1" applyFont="1" applyFill="1" applyAlignment="1">
      <alignment horizontal="center"/>
    </xf>
    <xf numFmtId="0" fontId="0" fillId="0" borderId="48"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8" borderId="27" xfId="0" applyNumberFormat="1" applyFill="1" applyBorder="1" applyAlignment="1">
      <alignment horizontal="center"/>
    </xf>
    <xf numFmtId="2" fontId="0" fillId="18" borderId="25" xfId="0" applyNumberFormat="1" applyFill="1" applyBorder="1" applyAlignment="1">
      <alignment horizontal="center"/>
    </xf>
    <xf numFmtId="2" fontId="0" fillId="18"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0" fillId="0" borderId="0" xfId="0" applyAlignment="1">
      <alignment horizontal="center"/>
    </xf>
    <xf numFmtId="0" fontId="51" fillId="19" borderId="0" xfId="0" applyFont="1" applyFill="1" applyAlignment="1">
      <alignment horizontal="center"/>
    </xf>
    <xf numFmtId="167" fontId="42" fillId="19" borderId="0" xfId="1" applyFont="1" applyFill="1" applyAlignment="1">
      <alignment horizontal="center"/>
    </xf>
    <xf numFmtId="167" fontId="42" fillId="19" borderId="0" xfId="1" applyFont="1" applyFill="1"/>
    <xf numFmtId="0" fontId="51" fillId="0" borderId="0" xfId="0" applyFont="1" applyAlignment="1">
      <alignment horizontal="center"/>
    </xf>
    <xf numFmtId="169" fontId="0" fillId="0" borderId="0" xfId="0" applyNumberFormat="1"/>
    <xf numFmtId="0" fontId="45" fillId="20" borderId="61" xfId="6" applyFill="1" applyAlignment="1">
      <alignment horizontal="center"/>
    </xf>
    <xf numFmtId="4" fontId="45" fillId="21" borderId="61" xfId="6" applyNumberFormat="1" applyFont="1" applyFill="1" applyAlignment="1">
      <alignment horizontal="center"/>
    </xf>
    <xf numFmtId="0" fontId="0" fillId="20" borderId="0" xfId="0" applyFont="1" applyFill="1" applyAlignment="1">
      <alignment horizontal="center"/>
    </xf>
    <xf numFmtId="0" fontId="49" fillId="0" borderId="0" xfId="0" applyFont="1" applyAlignment="1">
      <alignment horizontal="left" vertical="center"/>
    </xf>
    <xf numFmtId="0" fontId="0" fillId="20" borderId="0" xfId="0" applyFont="1" applyFill="1" applyAlignment="1">
      <alignment horizontal="center" vertical="center"/>
    </xf>
    <xf numFmtId="0" fontId="0" fillId="20" borderId="0" xfId="0" applyFill="1" applyAlignment="1">
      <alignment horizontal="center"/>
    </xf>
    <xf numFmtId="0" fontId="52" fillId="0" borderId="0" xfId="0" applyFont="1" applyAlignment="1">
      <alignment horizontal="center" vertical="center" shrinkToFit="1"/>
    </xf>
    <xf numFmtId="0" fontId="53" fillId="0" borderId="0" xfId="0" applyFont="1" applyAlignment="1">
      <alignment horizontal="center"/>
    </xf>
    <xf numFmtId="0" fontId="49" fillId="20" borderId="22" xfId="0" applyFont="1" applyFill="1" applyBorder="1" applyAlignment="1"/>
    <xf numFmtId="0" fontId="49" fillId="20" borderId="30" xfId="0" applyFont="1" applyFill="1" applyBorder="1" applyAlignment="1"/>
    <xf numFmtId="0" fontId="49" fillId="20" borderId="26" xfId="0" applyFont="1" applyFill="1" applyBorder="1" applyAlignment="1"/>
    <xf numFmtId="0" fontId="49" fillId="20" borderId="0" xfId="0" applyFont="1" applyFill="1" applyAlignment="1">
      <alignment horizontal="center" vertical="center"/>
    </xf>
    <xf numFmtId="0" fontId="0" fillId="20" borderId="0" xfId="0" applyFill="1" applyAlignment="1">
      <alignment horizontal="center" vertical="center" wrapText="1"/>
    </xf>
    <xf numFmtId="0" fontId="54" fillId="22" borderId="2" xfId="0" applyFont="1" applyFill="1" applyBorder="1" applyAlignment="1">
      <alignment horizontal="center" vertical="center" wrapText="1"/>
    </xf>
    <xf numFmtId="0" fontId="54" fillId="18" borderId="22" xfId="0" applyFont="1" applyFill="1" applyBorder="1" applyAlignment="1">
      <alignment horizontal="center" vertical="center" wrapText="1"/>
    </xf>
    <xf numFmtId="0" fontId="54" fillId="23" borderId="2" xfId="0" applyFont="1" applyFill="1" applyBorder="1" applyAlignment="1">
      <alignment horizontal="center" vertical="center" wrapText="1"/>
    </xf>
    <xf numFmtId="0" fontId="54" fillId="24" borderId="2" xfId="0" applyFont="1" applyFill="1" applyBorder="1" applyAlignment="1">
      <alignment horizontal="center" vertical="center" wrapText="1"/>
    </xf>
    <xf numFmtId="0" fontId="54" fillId="18" borderId="2" xfId="0" applyFont="1" applyFill="1" applyBorder="1" applyAlignment="1">
      <alignment horizontal="center" vertical="center" wrapText="1"/>
    </xf>
    <xf numFmtId="175" fontId="42" fillId="25" borderId="0" xfId="3" applyNumberFormat="1" applyFont="1" applyFill="1" applyBorder="1" applyAlignment="1">
      <alignment horizontal="center"/>
    </xf>
    <xf numFmtId="189" fontId="42" fillId="25" borderId="0" xfId="3" applyNumberFormat="1" applyFont="1" applyFill="1" applyBorder="1" applyAlignment="1">
      <alignment horizontal="center"/>
    </xf>
    <xf numFmtId="0" fontId="49" fillId="0" borderId="0" xfId="0" applyFont="1" applyAlignment="1">
      <alignment horizontal="center"/>
    </xf>
    <xf numFmtId="4" fontId="49" fillId="0" borderId="0" xfId="0" applyNumberFormat="1" applyFont="1" applyAlignment="1">
      <alignment horizontal="center"/>
    </xf>
    <xf numFmtId="0" fontId="49" fillId="0" borderId="0" xfId="0" applyFont="1" applyAlignment="1">
      <alignment horizontal="left"/>
    </xf>
    <xf numFmtId="10" fontId="42" fillId="25" borderId="0" xfId="3" applyNumberFormat="1" applyFont="1" applyFill="1" applyBorder="1" applyAlignment="1">
      <alignment horizontal="center"/>
    </xf>
    <xf numFmtId="167" fontId="42" fillId="25" borderId="0" xfId="3" quotePrefix="1" applyFont="1" applyFill="1" applyBorder="1" applyAlignment="1">
      <alignment horizontal="center"/>
    </xf>
    <xf numFmtId="167" fontId="42" fillId="25" borderId="0" xfId="3" applyFont="1" applyFill="1" applyBorder="1" applyAlignment="1">
      <alignment horizontal="center"/>
    </xf>
    <xf numFmtId="0" fontId="49" fillId="20" borderId="0" xfId="0" applyFont="1" applyFill="1" applyAlignment="1">
      <alignment horizontal="center"/>
    </xf>
    <xf numFmtId="14" fontId="0" fillId="0" borderId="0" xfId="0" applyNumberFormat="1" applyAlignment="1">
      <alignment horizontal="left"/>
    </xf>
    <xf numFmtId="0" fontId="49" fillId="20" borderId="0" xfId="0" applyFont="1" applyFill="1" applyAlignment="1">
      <alignment horizontal="left"/>
    </xf>
    <xf numFmtId="9" fontId="42" fillId="0" borderId="0" xfId="27" applyFont="1" applyFill="1" applyAlignment="1">
      <alignment horizontal="left"/>
    </xf>
    <xf numFmtId="175" fontId="42" fillId="0" borderId="0" xfId="3" applyNumberFormat="1" applyFont="1" applyFill="1" applyBorder="1" applyAlignment="1">
      <alignment horizontal="center"/>
    </xf>
    <xf numFmtId="0" fontId="0" fillId="20" borderId="0" xfId="0" applyFill="1"/>
    <xf numFmtId="0" fontId="55" fillId="0" borderId="0" xfId="0" applyFont="1" applyAlignment="1">
      <alignment horizontal="center"/>
    </xf>
    <xf numFmtId="4" fontId="45" fillId="26" borderId="61" xfId="6" applyNumberFormat="1" applyFont="1" applyFill="1" applyAlignment="1">
      <alignment horizontal="center"/>
    </xf>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9" fillId="0" borderId="12" xfId="0" applyFont="1" applyBorder="1" applyAlignment="1">
      <alignment horizontal="right"/>
    </xf>
    <xf numFmtId="0" fontId="49" fillId="0" borderId="16" xfId="0" applyFont="1" applyBorder="1" applyAlignment="1">
      <alignment horizontal="right"/>
    </xf>
    <xf numFmtId="0" fontId="49" fillId="0" borderId="22" xfId="0" applyFont="1" applyBorder="1" applyAlignment="1">
      <alignment horizontal="right"/>
    </xf>
    <xf numFmtId="0" fontId="49" fillId="0" borderId="26" xfId="0" applyFont="1" applyBorder="1" applyAlignment="1">
      <alignment horizontal="center"/>
    </xf>
    <xf numFmtId="0" fontId="13" fillId="24" borderId="2" xfId="0" applyFont="1" applyFill="1" applyBorder="1" applyAlignment="1">
      <alignment horizontal="center"/>
    </xf>
    <xf numFmtId="0" fontId="13" fillId="27" borderId="2" xfId="0" applyFont="1" applyFill="1" applyBorder="1" applyAlignment="1">
      <alignment horizontal="center"/>
    </xf>
    <xf numFmtId="0" fontId="8" fillId="0" borderId="30" xfId="0" quotePrefix="1" applyFont="1" applyBorder="1" applyAlignment="1">
      <alignment horizontal="center"/>
    </xf>
    <xf numFmtId="0" fontId="51" fillId="0" borderId="0" xfId="0" applyFont="1" applyAlignment="1">
      <alignment horizontal="center" shrinkToFit="1"/>
    </xf>
    <xf numFmtId="0" fontId="49" fillId="0" borderId="0" xfId="0" applyFont="1"/>
    <xf numFmtId="0" fontId="49" fillId="20" borderId="0" xfId="0" applyFont="1" applyFill="1"/>
    <xf numFmtId="4" fontId="45" fillId="0" borderId="61" xfId="6" applyNumberFormat="1"/>
    <xf numFmtId="4" fontId="12" fillId="0" borderId="29" xfId="0" applyNumberFormat="1" applyFont="1" applyBorder="1"/>
    <xf numFmtId="4" fontId="49" fillId="20" borderId="0" xfId="0" applyNumberFormat="1" applyFont="1" applyFill="1"/>
    <xf numFmtId="4" fontId="49"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28" borderId="0" xfId="0" applyFill="1"/>
    <xf numFmtId="0" fontId="10" fillId="29" borderId="12" xfId="0" applyFont="1" applyFill="1" applyBorder="1" applyAlignment="1">
      <alignment horizontal="left"/>
    </xf>
    <xf numFmtId="0" fontId="0" fillId="30" borderId="0" xfId="0" applyFill="1"/>
    <xf numFmtId="0" fontId="13" fillId="2" borderId="2" xfId="0" applyFont="1" applyFill="1" applyBorder="1" applyAlignment="1">
      <alignment horizontal="left"/>
    </xf>
    <xf numFmtId="0" fontId="44" fillId="29" borderId="0" xfId="0" applyFont="1" applyFill="1" applyAlignment="1">
      <alignment horizontal="right"/>
    </xf>
    <xf numFmtId="0" fontId="8" fillId="3" borderId="2" xfId="0" applyFont="1" applyFill="1" applyBorder="1" applyAlignment="1">
      <alignment horizontal="left"/>
    </xf>
    <xf numFmtId="0" fontId="56" fillId="30" borderId="0" xfId="0" applyFont="1" applyFill="1" applyBorder="1" applyAlignment="1">
      <alignment vertical="center"/>
    </xf>
    <xf numFmtId="0" fontId="57" fillId="20" borderId="20" xfId="0" applyFont="1" applyFill="1" applyBorder="1" applyAlignment="1" applyProtection="1">
      <alignment horizontal="left" vertical="center"/>
      <protection locked="0" hidden="1"/>
    </xf>
    <xf numFmtId="0" fontId="8" fillId="30" borderId="29" xfId="0" applyFont="1" applyFill="1" applyBorder="1" applyAlignment="1">
      <alignment horizontal="center"/>
    </xf>
    <xf numFmtId="0" fontId="58" fillId="0" borderId="0" xfId="0" applyFont="1"/>
    <xf numFmtId="0" fontId="58" fillId="28" borderId="0" xfId="0" applyFont="1" applyFill="1"/>
    <xf numFmtId="0" fontId="58" fillId="28" borderId="0" xfId="0" applyFont="1" applyFill="1" applyAlignment="1">
      <alignment horizontal="center"/>
    </xf>
    <xf numFmtId="0" fontId="17" fillId="0" borderId="0" xfId="0" applyFont="1" applyAlignment="1">
      <alignment horizontal="center"/>
    </xf>
    <xf numFmtId="0" fontId="0" fillId="0" borderId="0" xfId="0" applyAlignment="1">
      <alignment horizontal="center"/>
    </xf>
    <xf numFmtId="0" fontId="59" fillId="0" borderId="0" xfId="0" applyFont="1"/>
    <xf numFmtId="0" fontId="59" fillId="0" borderId="0" xfId="0" applyFont="1" applyFill="1"/>
    <xf numFmtId="4" fontId="0" fillId="0" borderId="13" xfId="0" applyNumberFormat="1" applyFill="1" applyBorder="1" applyAlignment="1">
      <alignment horizontal="center"/>
    </xf>
    <xf numFmtId="184" fontId="0" fillId="0" borderId="15" xfId="0" quotePrefix="1" applyNumberFormat="1" applyFill="1" applyBorder="1" applyAlignment="1">
      <alignment horizontal="center"/>
    </xf>
    <xf numFmtId="166" fontId="42" fillId="0" borderId="0" xfId="4" applyFont="1" applyAlignment="1">
      <alignment horizontal="center"/>
    </xf>
    <xf numFmtId="166" fontId="42" fillId="3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9" xfId="0" applyFill="1" applyBorder="1" applyAlignment="1">
      <alignment horizontal="center"/>
    </xf>
    <xf numFmtId="0" fontId="0" fillId="2" borderId="50" xfId="0" applyFill="1" applyBorder="1" applyAlignment="1">
      <alignment horizontal="center"/>
    </xf>
    <xf numFmtId="184" fontId="0" fillId="27" borderId="14" xfId="0" quotePrefix="1" applyNumberFormat="1" applyFill="1" applyBorder="1" applyAlignment="1">
      <alignment horizontal="center"/>
    </xf>
    <xf numFmtId="0" fontId="0" fillId="27" borderId="14" xfId="0" applyFill="1" applyBorder="1" applyAlignment="1">
      <alignment horizontal="center"/>
    </xf>
    <xf numFmtId="184" fontId="0" fillId="27" borderId="15" xfId="0" applyNumberFormat="1" applyFill="1" applyBorder="1" applyAlignment="1">
      <alignment horizontal="center"/>
    </xf>
    <xf numFmtId="0" fontId="0" fillId="27" borderId="15" xfId="0" applyFill="1" applyBorder="1" applyAlignment="1">
      <alignment horizontal="center"/>
    </xf>
    <xf numFmtId="0" fontId="0" fillId="2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54" fillId="2" borderId="2" xfId="0" applyFont="1" applyFill="1" applyBorder="1" applyAlignment="1">
      <alignment horizontal="center"/>
    </xf>
    <xf numFmtId="0" fontId="0" fillId="0" borderId="2" xfId="0" applyBorder="1"/>
    <xf numFmtId="49" fontId="13" fillId="6" borderId="2" xfId="0" quotePrefix="1" applyNumberFormat="1" applyFont="1" applyFill="1" applyBorder="1" applyAlignment="1">
      <alignment horizontal="center"/>
    </xf>
    <xf numFmtId="0" fontId="43" fillId="0" borderId="0" xfId="0" applyFont="1"/>
    <xf numFmtId="0" fontId="60" fillId="0" borderId="0" xfId="0" applyFont="1" applyProtection="1">
      <protection hidden="1"/>
    </xf>
    <xf numFmtId="0" fontId="61" fillId="0" borderId="0" xfId="0" applyFont="1" applyProtection="1">
      <protection hidden="1"/>
    </xf>
    <xf numFmtId="0" fontId="61" fillId="0" borderId="0" xfId="0" applyFont="1"/>
    <xf numFmtId="0" fontId="61" fillId="0" borderId="0" xfId="0" applyFont="1" applyAlignment="1" applyProtection="1">
      <alignment vertical="center"/>
      <protection hidden="1"/>
    </xf>
    <xf numFmtId="14" fontId="61" fillId="0" borderId="0" xfId="0" applyNumberFormat="1" applyFont="1" applyAlignment="1" applyProtection="1">
      <alignment vertical="center"/>
      <protection hidden="1"/>
    </xf>
    <xf numFmtId="0" fontId="27" fillId="0" borderId="2" xfId="0" applyFont="1" applyFill="1" applyBorder="1" applyAlignment="1" applyProtection="1">
      <alignment vertical="center"/>
      <protection hidden="1"/>
    </xf>
    <xf numFmtId="0" fontId="27" fillId="0" borderId="2" xfId="0" applyFont="1" applyFill="1" applyBorder="1" applyAlignment="1" applyProtection="1">
      <alignment horizontal="center" vertical="center"/>
      <protection hidden="1"/>
    </xf>
    <xf numFmtId="0" fontId="27" fillId="0" borderId="2" xfId="0" applyFont="1" applyBorder="1" applyAlignment="1" applyProtection="1">
      <alignment vertical="center"/>
      <protection hidden="1"/>
    </xf>
    <xf numFmtId="4" fontId="27" fillId="0" borderId="2" xfId="0" applyNumberFormat="1" applyFont="1" applyBorder="1" applyAlignment="1" applyProtection="1">
      <alignment horizontal="center" vertical="center"/>
      <protection hidden="1"/>
    </xf>
    <xf numFmtId="0" fontId="28" fillId="0" borderId="0" xfId="0" applyFont="1" applyAlignment="1" applyProtection="1">
      <alignment vertical="center"/>
      <protection hidden="1"/>
    </xf>
    <xf numFmtId="0" fontId="61" fillId="0" borderId="0" xfId="0" applyFont="1" applyAlignment="1" applyProtection="1">
      <alignment horizontal="center"/>
      <protection hidden="1"/>
    </xf>
    <xf numFmtId="9" fontId="30" fillId="0" borderId="0" xfId="25" applyNumberFormat="1" applyFont="1" applyAlignment="1" applyProtection="1">
      <alignment horizontal="center" vertical="center"/>
      <protection hidden="1"/>
    </xf>
    <xf numFmtId="10" fontId="61" fillId="0" borderId="0" xfId="25" applyNumberFormat="1" applyFont="1" applyAlignment="1" applyProtection="1">
      <alignment vertical="center"/>
      <protection hidden="1"/>
    </xf>
    <xf numFmtId="4" fontId="61" fillId="0" borderId="0" xfId="0" applyNumberFormat="1" applyFont="1" applyAlignment="1" applyProtection="1">
      <alignment horizontal="center"/>
      <protection hidden="1"/>
    </xf>
    <xf numFmtId="165" fontId="62" fillId="0" borderId="0" xfId="4" applyNumberFormat="1" applyFont="1" applyAlignment="1" applyProtection="1">
      <alignment vertical="center"/>
      <protection hidden="1"/>
    </xf>
    <xf numFmtId="0" fontId="32" fillId="0" borderId="0" xfId="0" applyFont="1" applyAlignment="1" applyProtection="1">
      <alignment vertical="center"/>
      <protection hidden="1"/>
    </xf>
    <xf numFmtId="165" fontId="29" fillId="0" borderId="24" xfId="1" applyNumberFormat="1" applyFont="1" applyFill="1" applyBorder="1" applyAlignment="1" applyProtection="1">
      <alignment horizontal="left" vertical="center"/>
      <protection hidden="1"/>
    </xf>
    <xf numFmtId="165" fontId="29" fillId="0" borderId="20" xfId="1" applyNumberFormat="1" applyFont="1" applyFill="1" applyBorder="1" applyAlignment="1" applyProtection="1">
      <alignment horizontal="left" vertical="center"/>
      <protection hidden="1"/>
    </xf>
    <xf numFmtId="165" fontId="33" fillId="20" borderId="20" xfId="0" applyNumberFormat="1" applyFont="1" applyFill="1" applyBorder="1" applyAlignment="1" applyProtection="1">
      <alignment horizontal="left" vertical="center"/>
      <protection hidden="1"/>
    </xf>
    <xf numFmtId="0" fontId="63" fillId="0" borderId="19" xfId="0" applyFont="1" applyBorder="1" applyAlignment="1" applyProtection="1">
      <alignment horizontal="left" vertical="center" indent="2"/>
      <protection hidden="1"/>
    </xf>
    <xf numFmtId="0" fontId="63" fillId="0" borderId="0" xfId="0" applyFont="1" applyBorder="1" applyAlignment="1" applyProtection="1">
      <alignment horizontal="left" vertical="center" indent="2"/>
      <protection hidden="1"/>
    </xf>
    <xf numFmtId="0" fontId="63" fillId="0" borderId="20" xfId="0" applyFont="1" applyBorder="1" applyAlignment="1" applyProtection="1">
      <alignment vertical="center"/>
      <protection hidden="1"/>
    </xf>
    <xf numFmtId="4" fontId="61" fillId="0" borderId="0" xfId="0" applyNumberFormat="1" applyFont="1" applyProtection="1">
      <protection hidden="1"/>
    </xf>
    <xf numFmtId="165" fontId="33" fillId="20" borderId="20" xfId="1" applyNumberFormat="1" applyFont="1" applyFill="1" applyBorder="1" applyAlignment="1" applyProtection="1">
      <alignment horizontal="left" vertical="center"/>
      <protection hidden="1"/>
    </xf>
    <xf numFmtId="0" fontId="33" fillId="20" borderId="51" xfId="0" applyFont="1" applyFill="1" applyBorder="1" applyAlignment="1" applyProtection="1">
      <alignment horizontal="right" vertical="center"/>
      <protection hidden="1"/>
    </xf>
    <xf numFmtId="0" fontId="33" fillId="20" borderId="52" xfId="0" applyFont="1" applyFill="1" applyBorder="1" applyAlignment="1" applyProtection="1">
      <alignment horizontal="center" vertical="center"/>
      <protection hidden="1"/>
    </xf>
    <xf numFmtId="0" fontId="33" fillId="20" borderId="24" xfId="0" applyFont="1" applyFill="1" applyBorder="1" applyAlignment="1" applyProtection="1">
      <alignment horizontal="left" vertical="center"/>
      <protection hidden="1"/>
    </xf>
    <xf numFmtId="1" fontId="29" fillId="0" borderId="19" xfId="25" applyNumberFormat="1" applyFont="1" applyFill="1" applyBorder="1" applyAlignment="1" applyProtection="1">
      <alignment horizontal="right" vertical="center"/>
      <protection hidden="1"/>
    </xf>
    <xf numFmtId="10" fontId="29" fillId="0" borderId="0" xfId="25" applyNumberFormat="1" applyFont="1" applyFill="1" applyBorder="1" applyAlignment="1" applyProtection="1">
      <alignment horizontal="center" vertical="center"/>
      <protection hidden="1"/>
    </xf>
    <xf numFmtId="4" fontId="63" fillId="0" borderId="20" xfId="0" applyNumberFormat="1" applyFont="1" applyFill="1" applyBorder="1" applyAlignment="1" applyProtection="1">
      <alignment horizontal="left" vertical="center"/>
      <protection hidden="1"/>
    </xf>
    <xf numFmtId="1" fontId="29" fillId="20" borderId="19" xfId="25" applyNumberFormat="1" applyFont="1" applyFill="1" applyBorder="1" applyAlignment="1" applyProtection="1">
      <alignment horizontal="right" vertical="center"/>
      <protection hidden="1"/>
    </xf>
    <xf numFmtId="10" fontId="29" fillId="20" borderId="0" xfId="25" applyNumberFormat="1" applyFont="1" applyFill="1" applyBorder="1" applyAlignment="1" applyProtection="1">
      <alignment horizontal="center" vertical="center"/>
      <protection hidden="1"/>
    </xf>
    <xf numFmtId="4" fontId="63" fillId="20" borderId="20" xfId="0" applyNumberFormat="1" applyFont="1" applyFill="1" applyBorder="1" applyAlignment="1" applyProtection="1">
      <alignment horizontal="left" vertical="center"/>
      <protection hidden="1"/>
    </xf>
    <xf numFmtId="1" fontId="29" fillId="0" borderId="48" xfId="25" applyNumberFormat="1" applyFont="1" applyFill="1" applyBorder="1" applyAlignment="1" applyProtection="1">
      <alignment horizontal="right" vertical="center"/>
      <protection hidden="1"/>
    </xf>
    <xf numFmtId="10" fontId="29" fillId="0" borderId="44" xfId="25" applyNumberFormat="1" applyFont="1" applyFill="1" applyBorder="1" applyAlignment="1" applyProtection="1">
      <alignment horizontal="center" vertical="center"/>
      <protection hidden="1"/>
    </xf>
    <xf numFmtId="4" fontId="63" fillId="0" borderId="21" xfId="0" applyNumberFormat="1" applyFont="1" applyFill="1" applyBorder="1" applyAlignment="1" applyProtection="1">
      <alignment horizontal="left" vertical="center"/>
      <protection hidden="1"/>
    </xf>
    <xf numFmtId="0" fontId="64" fillId="0" borderId="0" xfId="0" applyFont="1" applyProtection="1">
      <protection hidden="1"/>
    </xf>
    <xf numFmtId="0" fontId="64" fillId="0" borderId="0" xfId="0" applyFont="1" applyAlignment="1" applyProtection="1">
      <alignment vertical="center"/>
      <protection hidden="1"/>
    </xf>
    <xf numFmtId="0" fontId="63" fillId="0" borderId="0" xfId="0" applyFont="1" applyBorder="1" applyAlignment="1" applyProtection="1">
      <alignment horizontal="left"/>
      <protection hidden="1"/>
    </xf>
    <xf numFmtId="0" fontId="63" fillId="0" borderId="20" xfId="0" applyFont="1" applyBorder="1" applyAlignment="1" applyProtection="1">
      <alignment horizontal="left"/>
      <protection hidden="1"/>
    </xf>
    <xf numFmtId="0" fontId="61" fillId="0" borderId="12" xfId="0" applyFont="1" applyBorder="1" applyProtection="1">
      <protection hidden="1"/>
    </xf>
    <xf numFmtId="0" fontId="61" fillId="0" borderId="13" xfId="0" applyFont="1" applyBorder="1" applyProtection="1">
      <protection hidden="1"/>
    </xf>
    <xf numFmtId="0" fontId="61" fillId="0" borderId="23" xfId="0" applyFont="1" applyBorder="1" applyProtection="1">
      <protection hidden="1"/>
    </xf>
    <xf numFmtId="0" fontId="61" fillId="0" borderId="14" xfId="0" applyFont="1" applyBorder="1" applyProtection="1">
      <protection hidden="1"/>
    </xf>
    <xf numFmtId="0" fontId="61" fillId="0" borderId="15" xfId="0" applyFont="1" applyBorder="1" applyProtection="1">
      <protection hidden="1"/>
    </xf>
    <xf numFmtId="0" fontId="61" fillId="0" borderId="0" xfId="0" applyFont="1" applyBorder="1" applyProtection="1">
      <protection hidden="1"/>
    </xf>
    <xf numFmtId="0" fontId="61" fillId="0" borderId="16" xfId="0" applyFont="1" applyBorder="1" applyProtection="1">
      <protection hidden="1"/>
    </xf>
    <xf numFmtId="0" fontId="61" fillId="0" borderId="17" xfId="0" applyFont="1" applyBorder="1" applyProtection="1">
      <protection hidden="1"/>
    </xf>
    <xf numFmtId="0" fontId="61" fillId="0" borderId="29" xfId="0" applyFont="1" applyBorder="1" applyProtection="1">
      <protection hidden="1"/>
    </xf>
    <xf numFmtId="0" fontId="61" fillId="7" borderId="0" xfId="0" applyFont="1" applyFill="1" applyProtection="1">
      <protection hidden="1"/>
    </xf>
    <xf numFmtId="185" fontId="65" fillId="20" borderId="24" xfId="0"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vertical="center"/>
      <protection locked="0" hidden="1"/>
    </xf>
    <xf numFmtId="14" fontId="65" fillId="20" borderId="20" xfId="0" applyNumberFormat="1"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hidden="1"/>
    </xf>
    <xf numFmtId="0" fontId="65" fillId="0" borderId="20" xfId="0" applyFont="1" applyFill="1" applyBorder="1" applyAlignment="1" applyProtection="1">
      <alignment horizontal="left" vertical="center" shrinkToFit="1"/>
      <protection locked="0" hidden="1"/>
    </xf>
    <xf numFmtId="10" fontId="65" fillId="32" borderId="20" xfId="25" applyNumberFormat="1" applyFont="1" applyFill="1" applyBorder="1" applyAlignment="1" applyProtection="1">
      <alignment horizontal="left" vertical="center"/>
      <protection locked="0" hidden="1"/>
    </xf>
    <xf numFmtId="165" fontId="65" fillId="0" borderId="20" xfId="0" applyNumberFormat="1" applyFont="1" applyFill="1" applyBorder="1" applyAlignment="1" applyProtection="1">
      <alignment horizontal="left"/>
      <protection locked="0" hidden="1"/>
    </xf>
    <xf numFmtId="168" fontId="65" fillId="32" borderId="20" xfId="25" applyNumberFormat="1" applyFont="1" applyFill="1" applyBorder="1" applyAlignment="1" applyProtection="1">
      <alignment horizontal="left" vertical="center"/>
      <protection locked="0" hidden="1"/>
    </xf>
    <xf numFmtId="0" fontId="65" fillId="32" borderId="20" xfId="0" applyFont="1" applyFill="1" applyBorder="1" applyAlignment="1" applyProtection="1">
      <alignment horizontal="left" vertical="center"/>
      <protection locked="0"/>
    </xf>
    <xf numFmtId="0" fontId="65" fillId="0" borderId="20" xfId="0" applyFont="1" applyFill="1" applyBorder="1" applyAlignment="1" applyProtection="1">
      <alignment horizontal="left" vertical="center"/>
      <protection locked="0"/>
    </xf>
    <xf numFmtId="0" fontId="65" fillId="0" borderId="21" xfId="0" applyFont="1" applyFill="1" applyBorder="1" applyAlignment="1" applyProtection="1">
      <alignment horizontal="left" vertical="center"/>
      <protection locked="0"/>
    </xf>
    <xf numFmtId="0" fontId="35" fillId="20" borderId="2" xfId="0" applyFont="1" applyFill="1" applyBorder="1" applyAlignment="1" applyProtection="1">
      <alignment horizontal="center" vertical="center" wrapText="1"/>
      <protection hidden="1"/>
    </xf>
    <xf numFmtId="0" fontId="66" fillId="20" borderId="48" xfId="0" applyFont="1" applyFill="1" applyBorder="1" applyProtection="1">
      <protection hidden="1"/>
    </xf>
    <xf numFmtId="0" fontId="66" fillId="20" borderId="44" xfId="0" applyFont="1" applyFill="1" applyBorder="1" applyProtection="1">
      <protection hidden="1"/>
    </xf>
    <xf numFmtId="0" fontId="34" fillId="20" borderId="44" xfId="0" applyFont="1" applyFill="1" applyBorder="1" applyAlignment="1" applyProtection="1">
      <alignment horizontal="center"/>
      <protection hidden="1"/>
    </xf>
    <xf numFmtId="4" fontId="34" fillId="20" borderId="44" xfId="0" applyNumberFormat="1" applyFont="1" applyFill="1" applyBorder="1" applyAlignment="1" applyProtection="1">
      <alignment horizontal="center"/>
      <protection hidden="1"/>
    </xf>
    <xf numFmtId="4" fontId="34" fillId="20" borderId="21" xfId="0" applyNumberFormat="1" applyFont="1" applyFill="1" applyBorder="1" applyAlignment="1" applyProtection="1">
      <alignment horizontal="center"/>
      <protection hidden="1"/>
    </xf>
    <xf numFmtId="0" fontId="62" fillId="0" borderId="12" xfId="0" applyFont="1" applyBorder="1" applyAlignment="1" applyProtection="1">
      <alignment horizontal="center"/>
      <protection hidden="1"/>
    </xf>
    <xf numFmtId="177" fontId="62" fillId="0" borderId="23" xfId="0" applyNumberFormat="1" applyFont="1" applyBorder="1" applyAlignment="1" applyProtection="1">
      <alignment horizontal="center"/>
      <protection hidden="1"/>
    </xf>
    <xf numFmtId="4" fontId="62" fillId="0" borderId="23" xfId="0" applyNumberFormat="1" applyFont="1" applyBorder="1" applyAlignment="1" applyProtection="1">
      <alignment horizontal="center"/>
      <protection hidden="1"/>
    </xf>
    <xf numFmtId="4" fontId="62" fillId="0" borderId="13" xfId="0" applyNumberFormat="1" applyFont="1" applyBorder="1" applyAlignment="1" applyProtection="1">
      <alignment horizontal="center"/>
      <protection hidden="1"/>
    </xf>
    <xf numFmtId="0" fontId="62" fillId="0" borderId="14" xfId="0" applyFont="1" applyBorder="1" applyAlignment="1" applyProtection="1">
      <alignment horizontal="center"/>
      <protection hidden="1"/>
    </xf>
    <xf numFmtId="177" fontId="62" fillId="0" borderId="0" xfId="0" applyNumberFormat="1" applyFont="1" applyBorder="1" applyAlignment="1" applyProtection="1">
      <alignment horizontal="center"/>
      <protection hidden="1"/>
    </xf>
    <xf numFmtId="4" fontId="62" fillId="0" borderId="0" xfId="0" applyNumberFormat="1" applyFont="1" applyBorder="1" applyAlignment="1" applyProtection="1">
      <alignment horizontal="center"/>
      <protection hidden="1"/>
    </xf>
    <xf numFmtId="4" fontId="62" fillId="0" borderId="15" xfId="0" applyNumberFormat="1" applyFont="1" applyBorder="1" applyAlignment="1" applyProtection="1">
      <alignment horizontal="center"/>
      <protection hidden="1"/>
    </xf>
    <xf numFmtId="0" fontId="62" fillId="0" borderId="16" xfId="0" applyFont="1" applyBorder="1" applyAlignment="1" applyProtection="1">
      <alignment horizontal="center"/>
      <protection hidden="1"/>
    </xf>
    <xf numFmtId="177" fontId="62" fillId="0" borderId="29" xfId="0" applyNumberFormat="1" applyFont="1" applyBorder="1" applyAlignment="1" applyProtection="1">
      <alignment horizontal="center"/>
      <protection hidden="1"/>
    </xf>
    <xf numFmtId="4" fontId="62" fillId="0" borderId="29" xfId="0" applyNumberFormat="1" applyFont="1" applyBorder="1" applyAlignment="1" applyProtection="1">
      <alignment horizontal="center"/>
      <protection hidden="1"/>
    </xf>
    <xf numFmtId="4" fontId="62" fillId="0" borderId="17" xfId="0" applyNumberFormat="1" applyFont="1" applyBorder="1" applyAlignment="1" applyProtection="1">
      <alignment horizontal="center"/>
      <protection hidden="1"/>
    </xf>
    <xf numFmtId="0" fontId="62" fillId="0" borderId="44" xfId="0" applyFont="1" applyFill="1" applyBorder="1" applyAlignment="1" applyProtection="1">
      <alignment vertical="center"/>
      <protection hidden="1"/>
    </xf>
    <xf numFmtId="0" fontId="62" fillId="0" borderId="19" xfId="9" applyFont="1" applyBorder="1" applyAlignment="1" applyProtection="1">
      <alignment horizontal="left"/>
      <protection hidden="1"/>
    </xf>
    <xf numFmtId="0" fontId="63"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7" fillId="6" borderId="2" xfId="0" quotePrefix="1" applyNumberFormat="1" applyFont="1" applyFill="1" applyBorder="1" applyAlignment="1">
      <alignment horizontal="center"/>
    </xf>
    <xf numFmtId="167" fontId="68"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9" fillId="0" borderId="0" xfId="0" applyFont="1"/>
    <xf numFmtId="0" fontId="69" fillId="0" borderId="0" xfId="0" applyFont="1" applyFill="1" applyBorder="1"/>
    <xf numFmtId="186" fontId="69" fillId="0" borderId="0" xfId="0" applyNumberFormat="1" applyFont="1" applyFill="1" applyBorder="1"/>
    <xf numFmtId="10" fontId="69" fillId="0" borderId="0" xfId="0" applyNumberFormat="1" applyFont="1" applyFill="1" applyBorder="1"/>
    <xf numFmtId="4" fontId="69" fillId="0" borderId="0" xfId="0" applyNumberFormat="1" applyFont="1" applyFill="1" applyBorder="1"/>
    <xf numFmtId="0" fontId="0" fillId="0" borderId="0" xfId="0" applyAlignment="1">
      <alignment horizontal="center"/>
    </xf>
    <xf numFmtId="0" fontId="70" fillId="0" borderId="0" xfId="0" quotePrefix="1" applyFont="1"/>
    <xf numFmtId="0" fontId="0" fillId="0" borderId="0" xfId="0" applyAlignment="1">
      <alignment horizontal="center"/>
    </xf>
    <xf numFmtId="0" fontId="0" fillId="0" borderId="0" xfId="0" applyAlignment="1">
      <alignment horizontal="center"/>
    </xf>
    <xf numFmtId="0" fontId="13" fillId="33" borderId="0" xfId="0" applyFont="1" applyFill="1" applyBorder="1" applyAlignment="1">
      <alignment horizontal="left"/>
    </xf>
    <xf numFmtId="0" fontId="0" fillId="33" borderId="0" xfId="0" applyFill="1" applyBorder="1"/>
    <xf numFmtId="0" fontId="71" fillId="0" borderId="0" xfId="0" applyFont="1"/>
    <xf numFmtId="0" fontId="0" fillId="30" borderId="0" xfId="0" applyFill="1" applyAlignment="1">
      <alignment horizontal="left"/>
    </xf>
    <xf numFmtId="0" fontId="72" fillId="0" borderId="0" xfId="0" applyFont="1" applyAlignment="1">
      <alignment horizontal="center"/>
    </xf>
    <xf numFmtId="0" fontId="56" fillId="0" borderId="0" xfId="0" applyFont="1" applyAlignment="1">
      <alignment horizontal="center"/>
    </xf>
    <xf numFmtId="0" fontId="17" fillId="0" borderId="0" xfId="0" applyNumberFormat="1" applyFont="1" applyFill="1" applyBorder="1" applyAlignment="1">
      <alignment horizontal="center" vertical="center"/>
    </xf>
    <xf numFmtId="0" fontId="17" fillId="0" borderId="0" xfId="0" applyFont="1" applyFill="1" applyBorder="1" applyAlignment="1">
      <alignment horizontal="center"/>
    </xf>
    <xf numFmtId="0" fontId="56"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3" fillId="0" borderId="0" xfId="0" applyFont="1"/>
    <xf numFmtId="0" fontId="72" fillId="0" borderId="0" xfId="0" applyFont="1"/>
    <xf numFmtId="0" fontId="0" fillId="0" borderId="0" xfId="0" applyAlignment="1">
      <alignment horizontal="center"/>
    </xf>
    <xf numFmtId="169" fontId="72"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6" fillId="0" borderId="0" xfId="0" applyFont="1" applyFill="1" applyBorder="1" applyAlignment="1">
      <alignment horizontal="center"/>
    </xf>
    <xf numFmtId="0" fontId="56" fillId="0" borderId="0" xfId="0" applyNumberFormat="1" applyFont="1" applyFill="1" applyBorder="1" applyAlignment="1">
      <alignment horizontal="left" vertical="top"/>
    </xf>
    <xf numFmtId="0" fontId="56" fillId="0" borderId="0" xfId="0" applyFont="1" applyFill="1" applyBorder="1" applyAlignment="1">
      <alignment horizontal="center" vertical="center"/>
    </xf>
    <xf numFmtId="4" fontId="56" fillId="0" borderId="0" xfId="0" applyNumberFormat="1" applyFont="1" applyFill="1" applyBorder="1" applyAlignment="1">
      <alignment horizontal="center" vertical="center"/>
    </xf>
    <xf numFmtId="4" fontId="56" fillId="0" borderId="0" xfId="0" applyNumberFormat="1" applyFont="1" applyFill="1" applyBorder="1" applyAlignment="1">
      <alignment horizontal="center"/>
    </xf>
    <xf numFmtId="0" fontId="69" fillId="0" borderId="0" xfId="0" applyFont="1" applyFill="1" applyBorder="1" applyAlignment="1">
      <alignment horizontal="center" vertical="center"/>
    </xf>
    <xf numFmtId="186" fontId="69" fillId="0" borderId="0" xfId="0" applyNumberFormat="1" applyFont="1" applyFill="1" applyBorder="1" applyAlignment="1">
      <alignment horizontal="center" vertical="center"/>
    </xf>
    <xf numFmtId="10" fontId="69" fillId="0" borderId="0" xfId="0" applyNumberFormat="1" applyFont="1" applyFill="1" applyBorder="1" applyAlignment="1">
      <alignment horizontal="center" vertical="center"/>
    </xf>
    <xf numFmtId="4" fontId="69"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74" fillId="3" borderId="2" xfId="0" applyFont="1" applyFill="1" applyBorder="1" applyAlignment="1">
      <alignment horizontal="center"/>
    </xf>
    <xf numFmtId="0" fontId="75" fillId="2" borderId="2" xfId="0" applyFont="1" applyFill="1" applyBorder="1" applyAlignment="1">
      <alignment horizontal="center"/>
    </xf>
    <xf numFmtId="0" fontId="54" fillId="2" borderId="2" xfId="0" applyFont="1" applyFill="1" applyBorder="1" applyAlignment="1">
      <alignment horizontal="left" vertical="top"/>
    </xf>
    <xf numFmtId="0" fontId="0" fillId="3" borderId="53" xfId="0" applyFont="1" applyFill="1" applyBorder="1" applyAlignment="1">
      <alignment horizontal="center"/>
    </xf>
    <xf numFmtId="0" fontId="76" fillId="3" borderId="53" xfId="0" applyFont="1" applyFill="1" applyBorder="1" applyAlignment="1">
      <alignment horizontal="center"/>
    </xf>
    <xf numFmtId="0" fontId="0" fillId="3" borderId="53" xfId="0" applyFont="1" applyFill="1" applyBorder="1" applyAlignment="1">
      <alignment horizontal="left" vertical="top"/>
    </xf>
    <xf numFmtId="0" fontId="0" fillId="3" borderId="54" xfId="0" applyFont="1" applyFill="1" applyBorder="1" applyAlignment="1">
      <alignment horizontal="center"/>
    </xf>
    <xf numFmtId="0" fontId="0" fillId="3" borderId="55" xfId="0" applyFont="1" applyFill="1" applyBorder="1" applyAlignment="1">
      <alignment horizontal="center"/>
    </xf>
    <xf numFmtId="0" fontId="76" fillId="3" borderId="56" xfId="0" applyFont="1" applyFill="1" applyBorder="1" applyAlignment="1">
      <alignment horizontal="center"/>
    </xf>
    <xf numFmtId="0" fontId="0" fillId="0" borderId="27" xfId="0" applyFont="1" applyBorder="1" applyAlignment="1">
      <alignment horizontal="center"/>
    </xf>
    <xf numFmtId="0" fontId="76" fillId="3" borderId="54" xfId="0" applyFont="1" applyFill="1" applyBorder="1" applyAlignment="1">
      <alignment horizontal="center"/>
    </xf>
    <xf numFmtId="0" fontId="0" fillId="3" borderId="54" xfId="0" applyFont="1" applyFill="1" applyBorder="1" applyAlignment="1">
      <alignment horizontal="left" vertical="top"/>
    </xf>
    <xf numFmtId="0" fontId="0" fillId="3" borderId="57" xfId="0" applyFont="1" applyFill="1" applyBorder="1" applyAlignment="1">
      <alignment horizontal="center"/>
    </xf>
    <xf numFmtId="0" fontId="0" fillId="3" borderId="45" xfId="0" applyFont="1" applyFill="1" applyBorder="1" applyAlignment="1">
      <alignment horizontal="center"/>
    </xf>
    <xf numFmtId="0" fontId="76"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4" xfId="0" applyNumberFormat="1" applyFont="1" applyFill="1" applyBorder="1" applyAlignment="1">
      <alignment horizontal="left" vertical="top"/>
    </xf>
    <xf numFmtId="4" fontId="0" fillId="0" borderId="0" xfId="0" applyNumberFormat="1" applyFont="1"/>
    <xf numFmtId="0" fontId="77" fillId="0" borderId="0" xfId="0" applyFont="1" applyFill="1" applyBorder="1" applyAlignment="1">
      <alignment horizontal="center"/>
    </xf>
    <xf numFmtId="0" fontId="0" fillId="19" borderId="0" xfId="0" applyFont="1" applyFill="1" applyAlignment="1">
      <alignment horizontal="center"/>
    </xf>
    <xf numFmtId="0" fontId="0" fillId="19" borderId="0" xfId="0" applyFont="1" applyFill="1"/>
    <xf numFmtId="0" fontId="78" fillId="19" borderId="0" xfId="1" applyNumberFormat="1" applyFont="1" applyFill="1" applyAlignment="1">
      <alignment horizontal="center"/>
    </xf>
    <xf numFmtId="167" fontId="51" fillId="19"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8" fillId="0" borderId="0" xfId="25" applyNumberFormat="1" applyFont="1" applyAlignment="1">
      <alignment horizontal="center"/>
    </xf>
    <xf numFmtId="4" fontId="0" fillId="0" borderId="0" xfId="0" applyNumberFormat="1" applyFont="1" applyAlignment="1">
      <alignment horizontal="center"/>
    </xf>
    <xf numFmtId="10" fontId="51" fillId="19" borderId="0" xfId="25" applyNumberFormat="1" applyFont="1" applyFill="1" applyAlignment="1">
      <alignment horizontal="center"/>
    </xf>
    <xf numFmtId="0" fontId="0" fillId="0" borderId="0" xfId="0" applyNumberFormat="1" applyFont="1"/>
    <xf numFmtId="0" fontId="47" fillId="0" borderId="61" xfId="6" applyFont="1"/>
    <xf numFmtId="0" fontId="47" fillId="0" borderId="61" xfId="6" applyFont="1" applyAlignment="1">
      <alignment horizontal="left" vertical="top"/>
    </xf>
    <xf numFmtId="0" fontId="0" fillId="19" borderId="0" xfId="0" applyFont="1" applyFill="1" applyAlignment="1">
      <alignment horizontal="left"/>
    </xf>
    <xf numFmtId="0" fontId="56" fillId="0" borderId="0" xfId="0" applyFont="1" applyFill="1" applyBorder="1" applyAlignment="1">
      <alignment horizontal="left"/>
    </xf>
    <xf numFmtId="0" fontId="79" fillId="34" borderId="51" xfId="0" applyFont="1" applyFill="1" applyBorder="1" applyProtection="1">
      <protection hidden="1"/>
    </xf>
    <xf numFmtId="40" fontId="80" fillId="34" borderId="52" xfId="24" applyNumberFormat="1" applyFont="1" applyFill="1" applyBorder="1" applyAlignment="1" applyProtection="1">
      <alignment horizontal="center"/>
      <protection hidden="1"/>
    </xf>
    <xf numFmtId="40" fontId="80" fillId="34" borderId="24" xfId="24" applyNumberFormat="1" applyFont="1" applyFill="1" applyBorder="1" applyAlignment="1" applyProtection="1">
      <alignment horizontal="right"/>
      <protection hidden="1"/>
    </xf>
    <xf numFmtId="0" fontId="81" fillId="34" borderId="48" xfId="0" applyFont="1" applyFill="1" applyBorder="1" applyProtection="1">
      <protection hidden="1"/>
    </xf>
    <xf numFmtId="0" fontId="82" fillId="34" borderId="44" xfId="0" applyFont="1" applyFill="1" applyBorder="1" applyAlignment="1" applyProtection="1">
      <alignment horizontal="center" vertical="top"/>
      <protection hidden="1"/>
    </xf>
    <xf numFmtId="0" fontId="81" fillId="34" borderId="21" xfId="0" applyFont="1" applyFill="1" applyBorder="1" applyProtection="1">
      <protection hidden="1"/>
    </xf>
    <xf numFmtId="0" fontId="83" fillId="34" borderId="0" xfId="0" applyFont="1" applyFill="1" applyAlignment="1" applyProtection="1">
      <alignment vertical="center"/>
      <protection hidden="1"/>
    </xf>
    <xf numFmtId="0" fontId="84" fillId="34" borderId="58" xfId="6" applyFont="1" applyFill="1" applyBorder="1" applyAlignment="1" applyProtection="1">
      <protection hidden="1"/>
    </xf>
    <xf numFmtId="0" fontId="85" fillId="34" borderId="58" xfId="6" applyFont="1" applyFill="1" applyBorder="1" applyAlignment="1" applyProtection="1">
      <protection hidden="1"/>
    </xf>
    <xf numFmtId="0" fontId="83" fillId="34" borderId="51" xfId="0" applyFont="1" applyFill="1" applyBorder="1" applyAlignment="1" applyProtection="1">
      <alignment vertical="center"/>
      <protection hidden="1"/>
    </xf>
    <xf numFmtId="0" fontId="83" fillId="34" borderId="52" xfId="0" applyFont="1" applyFill="1" applyBorder="1" applyAlignment="1" applyProtection="1">
      <alignment vertical="center"/>
      <protection hidden="1"/>
    </xf>
    <xf numFmtId="0" fontId="83" fillId="34" borderId="24" xfId="0" applyFont="1" applyFill="1" applyBorder="1" applyAlignment="1" applyProtection="1">
      <alignment vertical="center"/>
      <protection hidden="1"/>
    </xf>
    <xf numFmtId="0" fontId="83" fillId="34" borderId="48" xfId="0" applyFont="1" applyFill="1" applyBorder="1" applyAlignment="1" applyProtection="1">
      <alignment vertical="center"/>
      <protection hidden="1"/>
    </xf>
    <xf numFmtId="0" fontId="83" fillId="34" borderId="44" xfId="0" applyFont="1" applyFill="1" applyBorder="1" applyAlignment="1" applyProtection="1">
      <alignment vertical="center"/>
      <protection hidden="1"/>
    </xf>
    <xf numFmtId="0" fontId="83" fillId="34" borderId="21" xfId="0" applyFont="1" applyFill="1" applyBorder="1" applyAlignment="1" applyProtection="1">
      <alignment vertical="center"/>
      <protection hidden="1"/>
    </xf>
    <xf numFmtId="0" fontId="0" fillId="0" borderId="0" xfId="0" applyAlignment="1">
      <alignment wrapText="1"/>
    </xf>
    <xf numFmtId="0" fontId="66" fillId="0" borderId="0" xfId="0" applyFont="1" applyAlignment="1" applyProtection="1">
      <alignment vertical="center"/>
      <protection hidden="1"/>
    </xf>
    <xf numFmtId="165" fontId="66" fillId="0" borderId="0" xfId="4" applyNumberFormat="1" applyFont="1" applyAlignment="1" applyProtection="1">
      <alignment vertical="center"/>
      <protection hidden="1"/>
    </xf>
    <xf numFmtId="0" fontId="0" fillId="0" borderId="0" xfId="0" applyFont="1" applyFill="1"/>
    <xf numFmtId="10" fontId="56" fillId="19" borderId="0" xfId="25" applyNumberFormat="1" applyFont="1" applyFill="1" applyBorder="1" applyAlignment="1">
      <alignment horizontal="center"/>
    </xf>
    <xf numFmtId="0" fontId="47" fillId="0" borderId="61"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6" fillId="0" borderId="0" xfId="0" applyFont="1" applyAlignment="1">
      <alignment horizontal="left"/>
    </xf>
    <xf numFmtId="0" fontId="0" fillId="0" borderId="0" xfId="0" applyAlignment="1">
      <alignment horizontal="center"/>
    </xf>
    <xf numFmtId="0" fontId="72" fillId="0" borderId="0" xfId="0" applyFont="1" applyAlignment="1">
      <alignment horizontal="left"/>
    </xf>
    <xf numFmtId="0" fontId="0" fillId="0" borderId="0" xfId="0" applyAlignment="1">
      <alignment horizontal="center"/>
    </xf>
    <xf numFmtId="0" fontId="0" fillId="0" borderId="0" xfId="0" applyNumberFormat="1"/>
    <xf numFmtId="0" fontId="13" fillId="6" borderId="2" xfId="0" applyNumberFormat="1" applyFont="1" applyFill="1" applyBorder="1" applyAlignment="1">
      <alignment horizontal="center"/>
    </xf>
    <xf numFmtId="0" fontId="13" fillId="6" borderId="2" xfId="0" quotePrefix="1" applyNumberFormat="1" applyFont="1" applyFill="1" applyBorder="1" applyAlignment="1">
      <alignment horizontal="center"/>
    </xf>
    <xf numFmtId="0" fontId="67" fillId="6"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7"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3" fillId="35" borderId="12" xfId="0" applyFont="1" applyFill="1" applyBorder="1" applyAlignment="1">
      <alignment horizontal="center"/>
    </xf>
    <xf numFmtId="168" fontId="31" fillId="32" borderId="20" xfId="25" applyNumberFormat="1" applyFont="1" applyFill="1" applyBorder="1" applyAlignment="1" applyProtection="1">
      <alignment horizontal="left" vertical="center"/>
      <protection locked="0" hidden="1"/>
    </xf>
    <xf numFmtId="165" fontId="31"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72" fillId="0" borderId="0" xfId="25" applyNumberFormat="1" applyFont="1" applyFill="1" applyBorder="1" applyAlignment="1">
      <alignment horizontal="center" vertical="center"/>
    </xf>
    <xf numFmtId="4" fontId="72" fillId="0" borderId="0" xfId="0" applyNumberFormat="1" applyFont="1" applyFill="1" applyBorder="1" applyAlignment="1">
      <alignment horizontal="center" vertical="center"/>
    </xf>
    <xf numFmtId="0" fontId="0" fillId="0" borderId="0" xfId="0" applyAlignment="1">
      <alignment horizontal="center"/>
    </xf>
    <xf numFmtId="186" fontId="86" fillId="18" borderId="0" xfId="0" applyNumberFormat="1" applyFont="1" applyFill="1" applyBorder="1" applyAlignment="1">
      <alignment horizontal="center"/>
    </xf>
    <xf numFmtId="4" fontId="86" fillId="18" borderId="0" xfId="0" applyNumberFormat="1" applyFont="1" applyFill="1" applyBorder="1" applyAlignment="1">
      <alignment horizontal="center"/>
    </xf>
    <xf numFmtId="0" fontId="86" fillId="18"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30" borderId="29" xfId="0" applyFont="1" applyFill="1" applyBorder="1" applyAlignment="1">
      <alignment horizontal="center" vertical="center"/>
    </xf>
    <xf numFmtId="9" fontId="42" fillId="0" borderId="17" xfId="25" applyFont="1" applyBorder="1" applyAlignment="1">
      <alignment horizontal="center"/>
    </xf>
    <xf numFmtId="0" fontId="0" fillId="0" borderId="0" xfId="0" applyAlignment="1">
      <alignment horizontal="center"/>
    </xf>
    <xf numFmtId="4" fontId="62" fillId="0" borderId="23" xfId="0" applyNumberFormat="1" applyFont="1" applyBorder="1" applyAlignment="1" applyProtection="1">
      <alignment horizontal="center"/>
      <protection locked="0"/>
    </xf>
    <xf numFmtId="4" fontId="62" fillId="0" borderId="0" xfId="0" applyNumberFormat="1" applyFont="1" applyBorder="1" applyAlignment="1" applyProtection="1">
      <alignment horizontal="center"/>
      <protection locked="0"/>
    </xf>
    <xf numFmtId="4" fontId="62" fillId="0" borderId="29" xfId="0" applyNumberFormat="1" applyFont="1" applyBorder="1" applyAlignment="1" applyProtection="1">
      <alignment horizontal="center"/>
      <protection locked="0"/>
    </xf>
    <xf numFmtId="0" fontId="0" fillId="0" borderId="0" xfId="0" applyAlignment="1">
      <alignment horizontal="center"/>
    </xf>
    <xf numFmtId="0" fontId="61"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7" fillId="0" borderId="0" xfId="0" applyNumberFormat="1" applyFont="1" applyFill="1" applyBorder="1" applyAlignment="1">
      <alignment horizontal="left"/>
    </xf>
    <xf numFmtId="0" fontId="56" fillId="0" borderId="0" xfId="0" applyFont="1"/>
    <xf numFmtId="49" fontId="17" fillId="0" borderId="0" xfId="0" applyNumberFormat="1" applyFont="1" applyFill="1" applyBorder="1" applyAlignment="1">
      <alignment vertical="center"/>
    </xf>
    <xf numFmtId="0" fontId="0" fillId="0" borderId="0" xfId="0"/>
    <xf numFmtId="0" fontId="17" fillId="0" borderId="0" xfId="0" applyFont="1" applyFill="1" applyBorder="1" applyAlignment="1"/>
    <xf numFmtId="0" fontId="56"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4" fontId="0" fillId="0" borderId="32" xfId="0" applyNumberFormat="1" applyBorder="1" applyAlignment="1">
      <alignment horizontal="center"/>
    </xf>
    <xf numFmtId="184" fontId="0" fillId="0" borderId="0" xfId="0" applyNumberFormat="1"/>
    <xf numFmtId="0" fontId="0" fillId="0" borderId="0" xfId="0" applyAlignment="1">
      <alignment horizontal="center"/>
    </xf>
    <xf numFmtId="0" fontId="71" fillId="0" borderId="0" xfId="0" applyFont="1" applyAlignment="1" applyProtection="1">
      <alignment vertical="center"/>
      <protection hidden="1"/>
    </xf>
    <xf numFmtId="0" fontId="0" fillId="0" borderId="0" xfId="0" applyAlignment="1">
      <alignment horizontal="center"/>
    </xf>
    <xf numFmtId="9" fontId="42" fillId="0" borderId="0" xfId="25" applyFont="1"/>
    <xf numFmtId="17" fontId="0" fillId="0" borderId="0" xfId="0" applyNumberFormat="1" applyFill="1"/>
    <xf numFmtId="191"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62" fillId="0" borderId="0" xfId="0" applyNumberFormat="1" applyFont="1" applyFill="1" applyBorder="1" applyAlignment="1" applyProtection="1">
      <alignment horizontal="center"/>
      <protection hidden="1"/>
    </xf>
    <xf numFmtId="4" fontId="40" fillId="0" borderId="29" xfId="0" applyNumberFormat="1" applyFont="1" applyFill="1" applyBorder="1" applyAlignment="1" applyProtection="1">
      <alignment horizontal="center"/>
      <protection hidden="1"/>
    </xf>
    <xf numFmtId="4" fontId="40" fillId="0" borderId="0" xfId="0" applyNumberFormat="1" applyFont="1" applyFill="1" applyBorder="1" applyAlignment="1" applyProtection="1">
      <alignment horizontal="center"/>
      <protection hidden="1"/>
    </xf>
    <xf numFmtId="0" fontId="87" fillId="0" borderId="0" xfId="0" applyFont="1" applyFill="1" applyProtection="1">
      <protection hidden="1"/>
    </xf>
    <xf numFmtId="0" fontId="66" fillId="0" borderId="0" xfId="0" applyFont="1" applyFill="1" applyProtection="1">
      <protection hidden="1"/>
    </xf>
    <xf numFmtId="0" fontId="88" fillId="0" borderId="0" xfId="0" applyFont="1" applyFill="1" applyProtection="1">
      <protection hidden="1"/>
    </xf>
    <xf numFmtId="0" fontId="89" fillId="0" borderId="0" xfId="0" applyFont="1" applyFill="1" applyProtection="1">
      <protection hidden="1"/>
    </xf>
    <xf numFmtId="0" fontId="62" fillId="0" borderId="51" xfId="0" applyFont="1" applyFill="1" applyBorder="1" applyAlignment="1" applyProtection="1">
      <alignment vertical="center"/>
      <protection hidden="1"/>
    </xf>
    <xf numFmtId="0" fontId="62" fillId="0" borderId="52" xfId="0" applyFont="1" applyFill="1" applyBorder="1" applyAlignment="1" applyProtection="1">
      <alignment vertical="center"/>
      <protection hidden="1"/>
    </xf>
    <xf numFmtId="165" fontId="62" fillId="0" borderId="52" xfId="0" applyNumberFormat="1" applyFont="1" applyFill="1" applyBorder="1" applyAlignment="1" applyProtection="1">
      <alignment horizontal="center" vertical="center"/>
      <protection hidden="1"/>
    </xf>
    <xf numFmtId="165" fontId="62" fillId="0" borderId="52" xfId="0" applyNumberFormat="1" applyFont="1" applyFill="1" applyBorder="1" applyAlignment="1" applyProtection="1">
      <alignment horizontal="left" vertical="center"/>
      <protection hidden="1"/>
    </xf>
    <xf numFmtId="0" fontId="62" fillId="0" borderId="52" xfId="0" applyFont="1" applyFill="1" applyBorder="1" applyAlignment="1" applyProtection="1">
      <alignment horizontal="right" vertical="center"/>
      <protection hidden="1"/>
    </xf>
    <xf numFmtId="177" fontId="62" fillId="0" borderId="52" xfId="0" applyNumberFormat="1" applyFont="1" applyFill="1" applyBorder="1" applyAlignment="1" applyProtection="1">
      <alignment horizontal="left" vertical="center"/>
      <protection hidden="1"/>
    </xf>
    <xf numFmtId="0" fontId="62" fillId="0" borderId="24" xfId="0" applyFont="1" applyFill="1" applyBorder="1" applyAlignment="1" applyProtection="1">
      <alignment vertical="center"/>
      <protection hidden="1"/>
    </xf>
    <xf numFmtId="0" fontId="62" fillId="0" borderId="19" xfId="0" applyFont="1" applyFill="1" applyBorder="1" applyAlignment="1" applyProtection="1">
      <alignment vertical="center"/>
      <protection hidden="1"/>
    </xf>
    <xf numFmtId="0" fontId="62" fillId="0" borderId="0" xfId="0" applyFont="1" applyFill="1" applyBorder="1" applyAlignment="1" applyProtection="1">
      <alignment vertical="center"/>
      <protection hidden="1"/>
    </xf>
    <xf numFmtId="165" fontId="62" fillId="0" borderId="0" xfId="0" applyNumberFormat="1" applyFont="1" applyFill="1" applyBorder="1" applyAlignment="1" applyProtection="1">
      <alignment horizontal="center" vertical="center"/>
      <protection hidden="1"/>
    </xf>
    <xf numFmtId="0" fontId="62" fillId="0" borderId="20" xfId="0" applyFont="1" applyFill="1" applyBorder="1" applyAlignment="1" applyProtection="1">
      <alignment vertical="center"/>
      <protection hidden="1"/>
    </xf>
    <xf numFmtId="0" fontId="62" fillId="0" borderId="0" xfId="0" applyFont="1" applyFill="1" applyBorder="1" applyAlignment="1" applyProtection="1">
      <alignment horizontal="left" vertical="center"/>
      <protection hidden="1"/>
    </xf>
    <xf numFmtId="0" fontId="90" fillId="0" borderId="0" xfId="0" applyFont="1" applyFill="1" applyBorder="1" applyAlignment="1" applyProtection="1">
      <alignment horizontal="left" vertical="center"/>
      <protection hidden="1"/>
    </xf>
    <xf numFmtId="0" fontId="62" fillId="0" borderId="0" xfId="0" applyFont="1" applyFill="1" applyBorder="1" applyAlignment="1" applyProtection="1">
      <alignment horizontal="right" vertical="center"/>
      <protection hidden="1"/>
    </xf>
    <xf numFmtId="10" fontId="62" fillId="0" borderId="0" xfId="0" applyNumberFormat="1" applyFont="1" applyFill="1" applyBorder="1" applyAlignment="1" applyProtection="1">
      <alignment horizontal="center" vertical="center"/>
      <protection hidden="1"/>
    </xf>
    <xf numFmtId="0" fontId="62" fillId="0" borderId="0" xfId="0" applyFont="1" applyFill="1" applyProtection="1">
      <protection hidden="1"/>
    </xf>
    <xf numFmtId="0" fontId="38" fillId="0" borderId="0" xfId="0" applyFont="1" applyFill="1" applyBorder="1" applyAlignment="1" applyProtection="1">
      <alignment horizontal="right" vertical="center"/>
      <protection hidden="1"/>
    </xf>
    <xf numFmtId="168" fontId="38" fillId="0" borderId="0" xfId="0" applyNumberFormat="1" applyFont="1" applyFill="1" applyBorder="1" applyAlignment="1" applyProtection="1">
      <alignment horizontal="center" vertical="center"/>
      <protection hidden="1"/>
    </xf>
    <xf numFmtId="0" fontId="38" fillId="0" borderId="20" xfId="0" applyFont="1" applyFill="1" applyBorder="1" applyAlignment="1" applyProtection="1">
      <alignment vertical="center"/>
      <protection hidden="1"/>
    </xf>
    <xf numFmtId="0" fontId="62" fillId="0" borderId="0" xfId="0" applyFont="1" applyFill="1" applyBorder="1" applyAlignment="1" applyProtection="1">
      <alignment horizontal="center" vertical="center"/>
      <protection hidden="1"/>
    </xf>
    <xf numFmtId="0" fontId="62" fillId="0" borderId="44" xfId="0" applyFont="1" applyFill="1" applyBorder="1" applyProtection="1">
      <protection hidden="1"/>
    </xf>
    <xf numFmtId="0" fontId="62" fillId="0" borderId="44" xfId="0" applyFont="1" applyFill="1" applyBorder="1" applyAlignment="1" applyProtection="1">
      <alignment horizontal="left" vertical="center"/>
      <protection hidden="1"/>
    </xf>
    <xf numFmtId="0" fontId="91" fillId="0" borderId="44" xfId="0" applyFont="1" applyFill="1" applyBorder="1" applyProtection="1">
      <protection hidden="1"/>
    </xf>
    <xf numFmtId="0" fontId="62" fillId="0" borderId="44" xfId="0" applyFont="1" applyFill="1" applyBorder="1" applyAlignment="1" applyProtection="1">
      <alignment horizontal="right" vertical="center"/>
      <protection hidden="1"/>
    </xf>
    <xf numFmtId="0" fontId="62" fillId="0" borderId="44" xfId="0" applyFont="1" applyFill="1" applyBorder="1" applyAlignment="1" applyProtection="1">
      <alignment horizontal="center" vertical="center"/>
      <protection hidden="1"/>
    </xf>
    <xf numFmtId="0" fontId="62" fillId="0" borderId="21" xfId="0" applyFont="1" applyFill="1" applyBorder="1" applyProtection="1">
      <protection hidden="1"/>
    </xf>
    <xf numFmtId="0" fontId="92" fillId="0" borderId="0" xfId="0" applyFont="1" applyAlignment="1">
      <alignment horizontal="center" readingOrder="1"/>
    </xf>
    <xf numFmtId="0" fontId="83" fillId="34" borderId="0" xfId="0" applyFont="1" applyFill="1" applyProtection="1">
      <protection hidden="1"/>
    </xf>
    <xf numFmtId="0" fontId="93" fillId="34" borderId="0" xfId="6" applyFont="1" applyFill="1" applyBorder="1" applyProtection="1">
      <protection hidden="1"/>
    </xf>
    <xf numFmtId="0" fontId="94" fillId="34" borderId="48" xfId="0" applyFont="1" applyFill="1" applyBorder="1" applyAlignment="1" applyProtection="1">
      <alignment vertical="center"/>
      <protection hidden="1"/>
    </xf>
    <xf numFmtId="0" fontId="0" fillId="0" borderId="0" xfId="0" applyAlignment="1">
      <alignment horizontal="center"/>
    </xf>
    <xf numFmtId="0" fontId="49" fillId="0" borderId="0" xfId="0" applyFont="1" applyAlignment="1">
      <alignment horizontal="center"/>
    </xf>
    <xf numFmtId="0" fontId="49" fillId="0" borderId="2" xfId="0" applyFont="1" applyBorder="1" applyAlignment="1">
      <alignment horizontal="center"/>
    </xf>
    <xf numFmtId="0" fontId="54" fillId="2" borderId="2" xfId="21" applyFont="1" applyFill="1" applyBorder="1" applyAlignment="1">
      <alignment horizontal="right" vertical="center" indent="1"/>
    </xf>
    <xf numFmtId="0" fontId="42" fillId="0" borderId="2" xfId="21" applyBorder="1" applyAlignment="1">
      <alignment horizontal="left" indent="2"/>
    </xf>
    <xf numFmtId="0" fontId="54" fillId="2" borderId="2" xfId="21" applyFont="1" applyFill="1" applyBorder="1" applyAlignment="1">
      <alignment horizontal="right" vertical="center" wrapText="1" indent="1"/>
    </xf>
    <xf numFmtId="0" fontId="42" fillId="0" borderId="2" xfId="21" quotePrefix="1" applyFont="1" applyBorder="1" applyAlignment="1">
      <alignment horizontal="left" indent="2"/>
    </xf>
    <xf numFmtId="192" fontId="54" fillId="0" borderId="2" xfId="21" applyNumberFormat="1" applyFont="1" applyFill="1" applyBorder="1" applyAlignment="1">
      <alignment horizontal="center" vertical="center"/>
    </xf>
    <xf numFmtId="193" fontId="54" fillId="0" borderId="2" xfId="21" applyNumberFormat="1" applyFont="1" applyFill="1" applyBorder="1" applyAlignment="1">
      <alignment horizontal="center" vertical="center"/>
    </xf>
    <xf numFmtId="0" fontId="42" fillId="0" borderId="0" xfId="21" applyFont="1"/>
    <xf numFmtId="0" fontId="42" fillId="0" borderId="0" xfId="21"/>
    <xf numFmtId="0" fontId="49" fillId="36" borderId="0" xfId="21" applyFont="1" applyFill="1"/>
    <xf numFmtId="0" fontId="42" fillId="36" borderId="0" xfId="21" applyFill="1"/>
    <xf numFmtId="0" fontId="42" fillId="36" borderId="0" xfId="21" applyFont="1" applyFill="1" applyAlignment="1">
      <alignment horizontal="right" indent="1"/>
    </xf>
    <xf numFmtId="0" fontId="49" fillId="36" borderId="0" xfId="21" applyFont="1" applyFill="1" applyAlignment="1">
      <alignment horizontal="center"/>
    </xf>
    <xf numFmtId="195" fontId="50" fillId="0" borderId="0" xfId="21" applyNumberFormat="1" applyFont="1" applyAlignment="1">
      <alignment horizontal="left"/>
    </xf>
    <xf numFmtId="0" fontId="50" fillId="0" borderId="0" xfId="21" applyFont="1" applyAlignment="1">
      <alignment horizontal="center"/>
    </xf>
    <xf numFmtId="0" fontId="54" fillId="2" borderId="2" xfId="21" applyFont="1" applyFill="1" applyBorder="1" applyAlignment="1">
      <alignment horizontal="center" vertical="center" wrapText="1"/>
    </xf>
    <xf numFmtId="0" fontId="43" fillId="0" borderId="0" xfId="21" applyFont="1" applyFill="1" applyAlignment="1">
      <alignment horizontal="center" vertical="center"/>
    </xf>
    <xf numFmtId="0" fontId="49" fillId="19" borderId="69" xfId="0" applyFont="1" applyFill="1" applyBorder="1" applyAlignment="1">
      <alignment vertical="center"/>
    </xf>
    <xf numFmtId="0" fontId="42" fillId="19" borderId="70" xfId="21" applyFill="1" applyBorder="1"/>
    <xf numFmtId="0" fontId="42" fillId="19" borderId="71" xfId="21" applyFill="1" applyBorder="1"/>
    <xf numFmtId="0" fontId="42" fillId="0" borderId="2" xfId="21" applyFont="1" applyFill="1" applyBorder="1" applyProtection="1">
      <protection locked="0"/>
    </xf>
    <xf numFmtId="0" fontId="42" fillId="37" borderId="0" xfId="21" applyFill="1"/>
    <xf numFmtId="0" fontId="0" fillId="37" borderId="0" xfId="0" applyFill="1" applyAlignment="1">
      <alignment horizontal="left" vertical="center" indent="1"/>
    </xf>
    <xf numFmtId="0" fontId="0" fillId="37" borderId="0" xfId="0" applyFill="1" applyAlignment="1">
      <alignment vertical="center"/>
    </xf>
    <xf numFmtId="0" fontId="42" fillId="22" borderId="0" xfId="21" applyFill="1"/>
    <xf numFmtId="0" fontId="0" fillId="22" borderId="0" xfId="0" applyFill="1" applyAlignment="1">
      <alignment horizontal="left" vertical="center" indent="1"/>
    </xf>
    <xf numFmtId="0" fontId="0" fillId="22" borderId="0" xfId="0" applyFill="1" applyAlignment="1">
      <alignment vertical="center"/>
    </xf>
    <xf numFmtId="0" fontId="42" fillId="0" borderId="2" xfId="21" applyFill="1" applyBorder="1" applyProtection="1">
      <protection locked="0"/>
    </xf>
    <xf numFmtId="0" fontId="108" fillId="22" borderId="0" xfId="0" applyFont="1" applyFill="1" applyAlignment="1">
      <alignment horizontal="right" vertical="center" indent="1"/>
    </xf>
    <xf numFmtId="0" fontId="42" fillId="38" borderId="2" xfId="21" applyFill="1" applyBorder="1" applyAlignment="1" applyProtection="1">
      <alignment horizontal="center" vertical="center"/>
    </xf>
    <xf numFmtId="0" fontId="42" fillId="25" borderId="0" xfId="21" applyFill="1"/>
    <xf numFmtId="0" fontId="0" fillId="25" borderId="0" xfId="0" applyFill="1" applyAlignment="1">
      <alignment horizontal="left" vertical="center" indent="1"/>
    </xf>
    <xf numFmtId="0" fontId="0" fillId="25" borderId="0" xfId="0" applyFill="1" applyAlignment="1">
      <alignment vertical="center"/>
    </xf>
    <xf numFmtId="0" fontId="49" fillId="20" borderId="0" xfId="21" applyFont="1" applyFill="1" applyAlignment="1">
      <alignment vertical="center"/>
    </xf>
    <xf numFmtId="0" fontId="42" fillId="20" borderId="0" xfId="21" applyFill="1"/>
    <xf numFmtId="0" fontId="43" fillId="0" borderId="0" xfId="21" applyFont="1" applyProtection="1">
      <protection locked="0"/>
    </xf>
    <xf numFmtId="0" fontId="42" fillId="0" borderId="0" xfId="21" applyProtection="1">
      <protection locked="0"/>
    </xf>
    <xf numFmtId="0" fontId="109" fillId="19" borderId="72" xfId="0" applyFont="1" applyFill="1" applyBorder="1" applyAlignment="1" applyProtection="1">
      <alignment vertical="center"/>
      <protection locked="0"/>
    </xf>
    <xf numFmtId="0" fontId="109" fillId="19" borderId="70" xfId="0" applyFont="1" applyFill="1" applyBorder="1" applyAlignment="1" applyProtection="1">
      <alignment vertical="center"/>
      <protection locked="0"/>
    </xf>
    <xf numFmtId="0" fontId="109" fillId="19" borderId="70" xfId="0" applyFont="1" applyFill="1" applyBorder="1" applyAlignment="1" applyProtection="1">
      <alignment horizontal="center" vertical="center"/>
      <protection locked="0"/>
    </xf>
    <xf numFmtId="0" fontId="42" fillId="19" borderId="70" xfId="21" applyFill="1" applyBorder="1" applyProtection="1">
      <protection locked="0"/>
    </xf>
    <xf numFmtId="0" fontId="42" fillId="19" borderId="71" xfId="21" applyFill="1" applyBorder="1" applyProtection="1">
      <protection locked="0"/>
    </xf>
    <xf numFmtId="0" fontId="110" fillId="0" borderId="0" xfId="0" applyFont="1" applyAlignment="1">
      <alignment vertical="center"/>
    </xf>
    <xf numFmtId="0" fontId="111" fillId="0" borderId="0" xfId="0" applyFont="1"/>
    <xf numFmtId="0" fontId="42" fillId="18" borderId="0" xfId="21" applyFont="1" applyFill="1"/>
    <xf numFmtId="0" fontId="42" fillId="18" borderId="0" xfId="21" applyFill="1"/>
    <xf numFmtId="0" fontId="49" fillId="18" borderId="0" xfId="21" applyFont="1" applyFill="1" applyAlignment="1">
      <alignment horizontal="center"/>
    </xf>
    <xf numFmtId="0" fontId="56" fillId="37" borderId="0" xfId="21" applyFont="1" applyFill="1"/>
    <xf numFmtId="0" fontId="42" fillId="37" borderId="0" xfId="21" applyFont="1" applyFill="1" applyAlignment="1">
      <alignment horizontal="left" vertical="center" indent="1"/>
    </xf>
    <xf numFmtId="0" fontId="42" fillId="25" borderId="0" xfId="21" applyFont="1" applyFill="1" applyAlignment="1">
      <alignment horizontal="left" vertical="center" indent="1"/>
    </xf>
    <xf numFmtId="14" fontId="49" fillId="20" borderId="0" xfId="0" applyNumberFormat="1" applyFont="1" applyFill="1"/>
    <xf numFmtId="0" fontId="0" fillId="0" borderId="0" xfId="0" applyAlignment="1">
      <alignment horizontal="center"/>
    </xf>
    <xf numFmtId="0" fontId="0" fillId="19" borderId="0" xfId="0" applyFill="1"/>
    <xf numFmtId="0" fontId="114" fillId="19" borderId="0" xfId="0" applyFont="1" applyFill="1" applyAlignment="1">
      <alignment horizontal="center"/>
    </xf>
    <xf numFmtId="0" fontId="114" fillId="19" borderId="0" xfId="0" applyFont="1" applyFill="1"/>
    <xf numFmtId="0" fontId="0" fillId="0" borderId="0" xfId="0" applyAlignment="1">
      <alignment horizontal="center"/>
    </xf>
    <xf numFmtId="0" fontId="44" fillId="39" borderId="0" xfId="0" applyFont="1" applyFill="1" applyAlignment="1">
      <alignment horizontal="center"/>
    </xf>
    <xf numFmtId="0" fontId="54" fillId="18"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6" fontId="0" fillId="0" borderId="0" xfId="0" applyNumberFormat="1" applyAlignment="1">
      <alignment horizontal="center"/>
    </xf>
    <xf numFmtId="10" fontId="0" fillId="0" borderId="0" xfId="0" applyNumberFormat="1" applyBorder="1" applyAlignment="1">
      <alignment horizontal="center"/>
    </xf>
    <xf numFmtId="0" fontId="15" fillId="0" borderId="16" xfId="0" applyFont="1" applyFill="1" applyBorder="1"/>
    <xf numFmtId="0" fontId="15" fillId="0" borderId="17" xfId="0" applyFont="1" applyBorder="1"/>
    <xf numFmtId="10" fontId="0" fillId="0" borderId="13" xfId="0" applyNumberFormat="1" applyBorder="1" applyAlignment="1">
      <alignment horizontal="center"/>
    </xf>
    <xf numFmtId="0" fontId="15" fillId="0" borderId="30" xfId="0" applyFont="1" applyFill="1" applyBorder="1"/>
    <xf numFmtId="0" fontId="15" fillId="0" borderId="30" xfId="0" applyFont="1" applyBorder="1"/>
    <xf numFmtId="0" fontId="0" fillId="0" borderId="0" xfId="0" applyAlignment="1">
      <alignment horizontal="center"/>
    </xf>
    <xf numFmtId="0" fontId="0" fillId="0" borderId="22" xfId="0" applyFill="1" applyBorder="1" applyAlignment="1" applyProtection="1">
      <alignment horizontal="left" vertical="center" wrapText="1"/>
      <protection locked="0"/>
    </xf>
    <xf numFmtId="0" fontId="0" fillId="30" borderId="30" xfId="0" applyFill="1" applyBorder="1" applyAlignment="1" applyProtection="1">
      <alignment horizontal="left" vertical="center"/>
      <protection locked="0"/>
    </xf>
    <xf numFmtId="0" fontId="0" fillId="30" borderId="26" xfId="0" applyFill="1" applyBorder="1" applyAlignment="1" applyProtection="1">
      <alignment horizontal="left" vertical="center"/>
      <protection locked="0"/>
    </xf>
    <xf numFmtId="0" fontId="95" fillId="0" borderId="22" xfId="21" applyFont="1" applyBorder="1" applyAlignment="1" applyProtection="1">
      <alignment horizontal="left" vertical="center"/>
      <protection locked="0"/>
    </xf>
    <xf numFmtId="0" fontId="95" fillId="0" borderId="30" xfId="21" applyFont="1" applyBorder="1" applyAlignment="1" applyProtection="1">
      <alignment horizontal="left" vertical="center"/>
      <protection locked="0"/>
    </xf>
    <xf numFmtId="0" fontId="95" fillId="0" borderId="26" xfId="21" applyFont="1" applyBorder="1" applyAlignment="1" applyProtection="1">
      <alignment horizontal="left" vertical="center"/>
      <protection locked="0"/>
    </xf>
    <xf numFmtId="0" fontId="112" fillId="0" borderId="73" xfId="21" applyFont="1" applyBorder="1" applyAlignment="1" applyProtection="1">
      <alignment horizontal="left" vertical="center"/>
      <protection locked="0"/>
    </xf>
    <xf numFmtId="0" fontId="112" fillId="0" borderId="74" xfId="21" applyFont="1" applyBorder="1" applyAlignment="1" applyProtection="1">
      <alignment horizontal="left" vertical="center"/>
      <protection locked="0"/>
    </xf>
    <xf numFmtId="0" fontId="112" fillId="0" borderId="75" xfId="21" applyFont="1" applyBorder="1" applyAlignment="1" applyProtection="1">
      <alignment horizontal="left" vertical="center"/>
      <protection locked="0"/>
    </xf>
    <xf numFmtId="194" fontId="56" fillId="0" borderId="22" xfId="21" applyNumberFormat="1" applyFont="1" applyFill="1" applyBorder="1" applyAlignment="1">
      <alignment horizontal="left" vertical="center" wrapText="1" indent="1"/>
    </xf>
    <xf numFmtId="194" fontId="56" fillId="0" borderId="26" xfId="21" applyNumberFormat="1" applyFont="1" applyFill="1" applyBorder="1" applyAlignment="1">
      <alignment horizontal="left" vertical="center" wrapText="1" indent="1"/>
    </xf>
    <xf numFmtId="0" fontId="63" fillId="3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9" fillId="34" borderId="19" xfId="0" applyFont="1" applyFill="1" applyBorder="1" applyAlignment="1" applyProtection="1">
      <alignment horizontal="right" vertical="center" indent="1"/>
      <protection hidden="1"/>
    </xf>
    <xf numFmtId="0" fontId="63" fillId="0" borderId="0" xfId="0" applyFont="1" applyFill="1" applyBorder="1" applyAlignment="1" applyProtection="1">
      <alignment horizontal="right" vertical="center" indent="1"/>
      <protection hidden="1"/>
    </xf>
    <xf numFmtId="0" fontId="100" fillId="0" borderId="67" xfId="0" applyFont="1" applyFill="1" applyBorder="1" applyAlignment="1" applyProtection="1">
      <alignment horizontal="right" vertical="center" indent="1"/>
      <protection hidden="1"/>
    </xf>
    <xf numFmtId="0" fontId="100" fillId="0" borderId="68" xfId="0" applyFont="1" applyFill="1" applyBorder="1" applyAlignment="1" applyProtection="1">
      <alignment horizontal="right" vertical="center" indent="1"/>
      <protection hidden="1"/>
    </xf>
    <xf numFmtId="0" fontId="63" fillId="0" borderId="19" xfId="0" applyFont="1" applyFill="1" applyBorder="1" applyAlignment="1" applyProtection="1">
      <alignment horizontal="right" vertical="center" indent="1"/>
      <protection hidden="1"/>
    </xf>
    <xf numFmtId="0" fontId="31" fillId="0" borderId="19" xfId="0" applyFont="1" applyFill="1" applyBorder="1" applyAlignment="1" applyProtection="1">
      <alignment horizontal="right" vertical="center" indent="1"/>
      <protection hidden="1"/>
    </xf>
    <xf numFmtId="0" fontId="63" fillId="32" borderId="0" xfId="0" applyFont="1" applyFill="1" applyBorder="1" applyAlignment="1" applyProtection="1">
      <alignment horizontal="right" vertical="center" indent="1"/>
      <protection hidden="1"/>
    </xf>
    <xf numFmtId="0" fontId="31" fillId="0" borderId="48" xfId="0" applyFont="1" applyFill="1" applyBorder="1" applyAlignment="1" applyProtection="1">
      <alignment horizontal="right" vertical="center"/>
      <protection hidden="1"/>
    </xf>
    <xf numFmtId="0" fontId="31" fillId="0" borderId="44" xfId="0" applyFont="1" applyFill="1" applyBorder="1" applyAlignment="1" applyProtection="1">
      <alignment horizontal="right" vertical="center"/>
      <protection hidden="1"/>
    </xf>
    <xf numFmtId="0" fontId="97" fillId="0" borderId="64" xfId="0" applyFont="1" applyFill="1" applyBorder="1" applyAlignment="1" applyProtection="1">
      <alignment horizontal="center" vertical="center"/>
      <protection hidden="1"/>
    </xf>
    <xf numFmtId="0" fontId="97" fillId="0" borderId="65" xfId="0" applyFont="1" applyFill="1" applyBorder="1" applyAlignment="1" applyProtection="1">
      <alignment horizontal="center" vertical="center"/>
      <protection hidden="1"/>
    </xf>
    <xf numFmtId="0" fontId="97" fillId="0" borderId="66" xfId="0" applyFont="1" applyFill="1" applyBorder="1" applyAlignment="1" applyProtection="1">
      <alignment horizontal="center" vertical="center"/>
      <protection hidden="1"/>
    </xf>
    <xf numFmtId="0" fontId="100" fillId="32" borderId="19" xfId="0" applyFont="1" applyFill="1" applyBorder="1" applyAlignment="1" applyProtection="1">
      <alignment horizontal="right" vertical="center" indent="1"/>
      <protection hidden="1"/>
    </xf>
    <xf numFmtId="0" fontId="100" fillId="32" borderId="0" xfId="0" applyFont="1" applyFill="1" applyBorder="1" applyAlignment="1" applyProtection="1">
      <alignment horizontal="right" vertical="center" indent="1"/>
      <protection hidden="1"/>
    </xf>
    <xf numFmtId="0" fontId="33" fillId="20" borderId="19" xfId="0" applyFont="1" applyFill="1" applyBorder="1" applyAlignment="1" applyProtection="1">
      <alignment horizontal="right" vertical="center" indent="1"/>
      <protection hidden="1"/>
    </xf>
    <xf numFmtId="0" fontId="33" fillId="20" borderId="0" xfId="0" applyFont="1" applyFill="1" applyBorder="1" applyAlignment="1" applyProtection="1">
      <alignment horizontal="right" vertical="center" indent="1"/>
      <protection hidden="1"/>
    </xf>
    <xf numFmtId="0" fontId="31" fillId="32" borderId="19" xfId="0" applyFont="1" applyFill="1" applyBorder="1" applyAlignment="1" applyProtection="1">
      <alignment horizontal="right" vertical="center"/>
      <protection hidden="1"/>
    </xf>
    <xf numFmtId="0" fontId="31" fillId="32" borderId="0" xfId="0" applyFont="1" applyFill="1" applyBorder="1" applyAlignment="1" applyProtection="1">
      <alignment horizontal="right" vertical="center"/>
      <protection hidden="1"/>
    </xf>
    <xf numFmtId="0" fontId="63" fillId="20" borderId="51" xfId="0" applyFont="1" applyFill="1" applyBorder="1" applyAlignment="1" applyProtection="1">
      <alignment horizontal="right" vertical="center" indent="1"/>
      <protection hidden="1"/>
    </xf>
    <xf numFmtId="0" fontId="0" fillId="0" borderId="52" xfId="0" applyBorder="1" applyAlignment="1">
      <alignment horizontal="right" vertical="center" indent="1"/>
    </xf>
    <xf numFmtId="0" fontId="63" fillId="20" borderId="19" xfId="0" applyFont="1" applyFill="1" applyBorder="1" applyAlignment="1" applyProtection="1">
      <alignment horizontal="right" vertical="center" indent="1"/>
      <protection hidden="1"/>
    </xf>
    <xf numFmtId="0" fontId="29" fillId="32" borderId="19" xfId="0" applyFont="1" applyFill="1" applyBorder="1" applyAlignment="1" applyProtection="1">
      <alignment horizontal="right" vertical="center" indent="1"/>
      <protection hidden="1"/>
    </xf>
    <xf numFmtId="0" fontId="31" fillId="0" borderId="0" xfId="0" applyFont="1" applyFill="1" applyBorder="1" applyAlignment="1" applyProtection="1">
      <alignment horizontal="right" vertical="center" indent="1"/>
      <protection hidden="1"/>
    </xf>
    <xf numFmtId="0" fontId="31" fillId="32" borderId="0" xfId="0" applyFont="1" applyFill="1" applyBorder="1" applyAlignment="1" applyProtection="1">
      <alignment horizontal="right" vertical="center" indent="1"/>
      <protection hidden="1"/>
    </xf>
    <xf numFmtId="0" fontId="63" fillId="0" borderId="51" xfId="0" applyFont="1" applyFill="1" applyBorder="1" applyAlignment="1" applyProtection="1">
      <alignment horizontal="right" vertical="center" indent="1"/>
      <protection hidden="1"/>
    </xf>
    <xf numFmtId="0" fontId="63" fillId="0" borderId="52" xfId="0" applyFont="1" applyFill="1" applyBorder="1" applyAlignment="1" applyProtection="1">
      <alignment horizontal="right" vertical="center" indent="1"/>
      <protection hidden="1"/>
    </xf>
    <xf numFmtId="0" fontId="84" fillId="34" borderId="58" xfId="6" applyFont="1" applyFill="1" applyBorder="1" applyAlignment="1" applyProtection="1">
      <alignment horizontal="center"/>
      <protection hidden="1"/>
    </xf>
    <xf numFmtId="0" fontId="96" fillId="0" borderId="58" xfId="6" applyFont="1" applyFill="1" applyBorder="1" applyAlignment="1" applyProtection="1">
      <alignment horizontal="center"/>
      <protection hidden="1"/>
    </xf>
    <xf numFmtId="0" fontId="62" fillId="0" borderId="19" xfId="0" applyFont="1" applyBorder="1" applyAlignment="1" applyProtection="1">
      <alignment horizontal="left"/>
      <protection hidden="1"/>
    </xf>
    <xf numFmtId="0" fontId="62" fillId="0" borderId="0" xfId="0" applyFont="1" applyBorder="1" applyAlignment="1" applyProtection="1">
      <alignment horizontal="left"/>
      <protection hidden="1"/>
    </xf>
    <xf numFmtId="0" fontId="62" fillId="0" borderId="20" xfId="0" applyFont="1" applyBorder="1" applyAlignment="1" applyProtection="1">
      <alignment horizontal="left"/>
      <protection hidden="1"/>
    </xf>
    <xf numFmtId="0" fontId="62" fillId="0" borderId="19" xfId="0" applyFont="1" applyBorder="1" applyAlignment="1" applyProtection="1">
      <alignment horizontal="justify" vertical="center" wrapText="1"/>
      <protection hidden="1"/>
    </xf>
    <xf numFmtId="0" fontId="62" fillId="0" borderId="0" xfId="0" applyFont="1" applyBorder="1" applyAlignment="1" applyProtection="1">
      <alignment horizontal="justify" vertical="center" wrapText="1"/>
      <protection hidden="1"/>
    </xf>
    <xf numFmtId="0" fontId="62" fillId="0" borderId="20" xfId="0" applyFont="1" applyBorder="1" applyAlignment="1" applyProtection="1">
      <alignment horizontal="justify" vertical="center" wrapText="1"/>
      <protection hidden="1"/>
    </xf>
    <xf numFmtId="0" fontId="62" fillId="0" borderId="48" xfId="0" applyFont="1" applyBorder="1" applyAlignment="1" applyProtection="1">
      <alignment horizontal="justify" vertical="center" wrapText="1"/>
      <protection hidden="1"/>
    </xf>
    <xf numFmtId="0" fontId="62" fillId="0" borderId="44" xfId="0" applyFont="1" applyBorder="1" applyAlignment="1" applyProtection="1">
      <alignment horizontal="justify" vertical="center" wrapText="1"/>
      <protection hidden="1"/>
    </xf>
    <xf numFmtId="0" fontId="62" fillId="0" borderId="21" xfId="0" applyFont="1" applyBorder="1" applyAlignment="1" applyProtection="1">
      <alignment horizontal="justify" vertical="center" wrapText="1"/>
      <protection hidden="1"/>
    </xf>
    <xf numFmtId="0" fontId="63" fillId="0" borderId="19" xfId="0" applyFont="1" applyBorder="1" applyAlignment="1" applyProtection="1">
      <alignment horizontal="justify" vertical="top" wrapText="1"/>
      <protection hidden="1"/>
    </xf>
    <xf numFmtId="0" fontId="63" fillId="0" borderId="0" xfId="0" applyFont="1" applyBorder="1" applyAlignment="1" applyProtection="1">
      <alignment horizontal="justify" vertical="top" wrapText="1"/>
      <protection hidden="1"/>
    </xf>
    <xf numFmtId="0" fontId="63" fillId="0" borderId="20" xfId="0" applyFont="1" applyBorder="1" applyAlignment="1" applyProtection="1">
      <alignment horizontal="justify" vertical="top" wrapText="1"/>
      <protection hidden="1"/>
    </xf>
    <xf numFmtId="0" fontId="97" fillId="20" borderId="48" xfId="0" applyFont="1" applyFill="1" applyBorder="1" applyAlignment="1" applyProtection="1">
      <alignment horizontal="right" vertical="center" indent="1"/>
      <protection hidden="1"/>
    </xf>
    <xf numFmtId="0" fontId="97" fillId="20" borderId="44" xfId="0" applyFont="1" applyFill="1" applyBorder="1" applyAlignment="1" applyProtection="1">
      <alignment horizontal="right" vertical="center" indent="1"/>
      <protection hidden="1"/>
    </xf>
    <xf numFmtId="0" fontId="63" fillId="0" borderId="51" xfId="0" applyFont="1" applyBorder="1" applyAlignment="1" applyProtection="1">
      <alignment horizontal="justify" vertical="center" wrapText="1"/>
      <protection hidden="1"/>
    </xf>
    <xf numFmtId="0" fontId="63" fillId="0" borderId="52" xfId="0" applyFont="1" applyBorder="1" applyAlignment="1" applyProtection="1">
      <alignment horizontal="justify" vertical="center" wrapText="1"/>
      <protection hidden="1"/>
    </xf>
    <xf numFmtId="0" fontId="63" fillId="0" borderId="24" xfId="0" applyFont="1" applyBorder="1" applyAlignment="1" applyProtection="1">
      <alignment horizontal="justify" vertical="center" wrapText="1"/>
      <protection hidden="1"/>
    </xf>
    <xf numFmtId="0" fontId="63" fillId="0" borderId="19" xfId="0" applyFont="1" applyBorder="1" applyAlignment="1" applyProtection="1">
      <alignment horizontal="left" vertical="center" wrapText="1"/>
      <protection hidden="1"/>
    </xf>
    <xf numFmtId="0" fontId="63" fillId="0" borderId="0" xfId="0" applyFont="1" applyBorder="1" applyAlignment="1" applyProtection="1">
      <alignment horizontal="left" vertical="center" wrapText="1"/>
      <protection hidden="1"/>
    </xf>
    <xf numFmtId="0" fontId="63" fillId="0" borderId="20" xfId="0" applyFont="1" applyBorder="1" applyAlignment="1" applyProtection="1">
      <alignment horizontal="left" vertical="center" wrapText="1"/>
      <protection hidden="1"/>
    </xf>
    <xf numFmtId="0" fontId="98" fillId="0" borderId="19" xfId="0" applyFont="1" applyBorder="1" applyAlignment="1" applyProtection="1">
      <alignment horizontal="justify" vertical="center" wrapText="1"/>
      <protection hidden="1"/>
    </xf>
    <xf numFmtId="0" fontId="98" fillId="0" borderId="0" xfId="0" applyFont="1" applyBorder="1" applyAlignment="1" applyProtection="1">
      <alignment horizontal="justify" vertical="center" wrapText="1"/>
      <protection hidden="1"/>
    </xf>
    <xf numFmtId="0" fontId="98" fillId="0" borderId="20" xfId="0" applyFont="1" applyBorder="1" applyAlignment="1" applyProtection="1">
      <alignment horizontal="justify" vertical="center" wrapText="1"/>
      <protection hidden="1"/>
    </xf>
    <xf numFmtId="0" fontId="101" fillId="34" borderId="52" xfId="0" applyFont="1" applyFill="1" applyBorder="1" applyAlignment="1" applyProtection="1">
      <alignment horizontal="left" vertical="center"/>
      <protection hidden="1"/>
    </xf>
    <xf numFmtId="0" fontId="84" fillId="34" borderId="44" xfId="0" applyFont="1" applyFill="1" applyBorder="1" applyAlignment="1" applyProtection="1">
      <alignment horizontal="center" vertical="center"/>
      <protection hidden="1"/>
    </xf>
    <xf numFmtId="0" fontId="62" fillId="0" borderId="19" xfId="0" applyFont="1" applyFill="1" applyBorder="1" applyAlignment="1" applyProtection="1">
      <alignment vertical="center" wrapText="1"/>
      <protection hidden="1"/>
    </xf>
    <xf numFmtId="0" fontId="62" fillId="0" borderId="0" xfId="0" applyFont="1" applyFill="1" applyAlignment="1" applyProtection="1">
      <alignment vertical="center" wrapText="1"/>
      <protection hidden="1"/>
    </xf>
    <xf numFmtId="0" fontId="62" fillId="0" borderId="51" xfId="0" applyFont="1" applyBorder="1" applyAlignment="1" applyProtection="1">
      <alignment horizontal="justify" vertical="center" wrapText="1"/>
      <protection hidden="1"/>
    </xf>
    <xf numFmtId="0" fontId="62" fillId="0" borderId="52" xfId="0" applyFont="1" applyBorder="1" applyAlignment="1" applyProtection="1">
      <alignment horizontal="justify" vertical="center" wrapText="1"/>
      <protection hidden="1"/>
    </xf>
    <xf numFmtId="0" fontId="62" fillId="0" borderId="24" xfId="0" applyFont="1" applyBorder="1" applyAlignment="1" applyProtection="1">
      <alignment horizontal="justify" vertical="center" wrapText="1"/>
      <protection hidden="1"/>
    </xf>
    <xf numFmtId="0" fontId="102" fillId="0" borderId="0" xfId="0" applyFont="1" applyFill="1" applyBorder="1" applyAlignment="1" applyProtection="1">
      <alignment horizontal="left" vertical="center"/>
      <protection locked="0"/>
    </xf>
    <xf numFmtId="0" fontId="62" fillId="0" borderId="0" xfId="0" applyFont="1" applyFill="1" applyProtection="1">
      <protection locked="0"/>
    </xf>
    <xf numFmtId="0" fontId="103" fillId="34" borderId="59" xfId="6" applyFont="1" applyFill="1" applyBorder="1" applyAlignment="1" applyProtection="1">
      <alignment horizontal="center"/>
      <protection hidden="1"/>
    </xf>
    <xf numFmtId="0" fontId="103" fillId="0" borderId="58" xfId="6" applyFont="1" applyFill="1" applyBorder="1" applyAlignment="1" applyProtection="1">
      <alignment horizontal="center"/>
      <protection hidden="1"/>
    </xf>
    <xf numFmtId="0" fontId="104" fillId="34" borderId="58" xfId="6" applyFont="1" applyFill="1" applyBorder="1" applyAlignment="1" applyProtection="1">
      <alignment horizontal="center"/>
      <protection hidden="1"/>
    </xf>
    <xf numFmtId="0" fontId="103" fillId="0" borderId="60" xfId="6" applyFont="1" applyFill="1" applyBorder="1" applyAlignment="1" applyProtection="1">
      <alignment horizontal="center"/>
      <protection hidden="1"/>
    </xf>
    <xf numFmtId="0" fontId="12" fillId="3" borderId="19" xfId="0" applyFont="1" applyFill="1" applyBorder="1" applyAlignment="1">
      <alignment horizontal="left" indent="2"/>
    </xf>
    <xf numFmtId="0" fontId="12"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2" fillId="3" borderId="2" xfId="0" applyFont="1" applyFill="1" applyBorder="1" applyAlignment="1">
      <alignment horizontal="center"/>
    </xf>
    <xf numFmtId="0" fontId="12" fillId="3" borderId="51" xfId="0" applyFont="1" applyFill="1" applyBorder="1" applyAlignment="1">
      <alignment horizontal="center"/>
    </xf>
    <xf numFmtId="0" fontId="12" fillId="3" borderId="52" xfId="0" applyFont="1" applyFill="1" applyBorder="1" applyAlignment="1">
      <alignment horizontal="center"/>
    </xf>
    <xf numFmtId="180" fontId="12" fillId="3" borderId="30" xfId="0" applyNumberFormat="1" applyFont="1" applyFill="1" applyBorder="1" applyAlignment="1">
      <alignment horizontal="center"/>
    </xf>
    <xf numFmtId="180" fontId="12" fillId="3" borderId="26" xfId="0" applyNumberFormat="1" applyFont="1" applyFill="1" applyBorder="1" applyAlignment="1">
      <alignment horizontal="center"/>
    </xf>
    <xf numFmtId="0" fontId="0" fillId="0" borderId="0" xfId="0" applyAlignment="1">
      <alignment horizontal="center"/>
    </xf>
    <xf numFmtId="0" fontId="12" fillId="3" borderId="22" xfId="0" applyFont="1" applyFill="1" applyBorder="1" applyAlignment="1">
      <alignment horizontal="center"/>
    </xf>
    <xf numFmtId="0" fontId="12" fillId="3" borderId="30" xfId="0" applyFont="1" applyFill="1" applyBorder="1" applyAlignment="1">
      <alignment horizontal="center"/>
    </xf>
    <xf numFmtId="0" fontId="12" fillId="3" borderId="26" xfId="0" applyFont="1" applyFill="1" applyBorder="1" applyAlignment="1">
      <alignment horizontal="center"/>
    </xf>
    <xf numFmtId="0" fontId="49" fillId="20" borderId="22" xfId="0" applyFont="1" applyFill="1" applyBorder="1" applyAlignment="1">
      <alignment horizontal="center"/>
    </xf>
    <xf numFmtId="0" fontId="49" fillId="20" borderId="30" xfId="0" applyFont="1" applyFill="1" applyBorder="1" applyAlignment="1">
      <alignment horizontal="center"/>
    </xf>
    <xf numFmtId="0" fontId="49" fillId="20" borderId="26" xfId="0" applyFont="1" applyFill="1" applyBorder="1" applyAlignment="1">
      <alignment horizontal="center"/>
    </xf>
    <xf numFmtId="0" fontId="49" fillId="20" borderId="2" xfId="0" applyFont="1" applyFill="1" applyBorder="1" applyAlignment="1">
      <alignment horizontal="center"/>
    </xf>
    <xf numFmtId="0" fontId="49" fillId="0" borderId="29" xfId="0" applyFont="1" applyBorder="1" applyAlignment="1">
      <alignment horizontal="center"/>
    </xf>
    <xf numFmtId="0" fontId="49" fillId="0" borderId="0" xfId="0" applyFont="1" applyAlignment="1">
      <alignment horizontal="center"/>
    </xf>
    <xf numFmtId="0" fontId="95" fillId="20" borderId="19" xfId="0" applyFont="1" applyFill="1" applyBorder="1" applyAlignment="1" applyProtection="1">
      <alignment horizontal="right" vertical="center"/>
      <protection hidden="1"/>
    </xf>
    <xf numFmtId="0" fontId="95" fillId="20" borderId="0" xfId="0" applyFont="1" applyFill="1" applyBorder="1" applyAlignment="1" applyProtection="1">
      <alignment horizontal="right" vertical="center"/>
      <protection hidden="1"/>
    </xf>
    <xf numFmtId="0" fontId="50" fillId="30" borderId="0" xfId="0" applyFont="1" applyFill="1" applyAlignment="1">
      <alignment horizontal="center"/>
    </xf>
    <xf numFmtId="0" fontId="12" fillId="0" borderId="14" xfId="0" applyFont="1" applyBorder="1" applyAlignment="1">
      <alignment horizontal="center" vertical="top"/>
    </xf>
    <xf numFmtId="0" fontId="12" fillId="0" borderId="0" xfId="0" applyFont="1" applyBorder="1" applyAlignment="1">
      <alignment horizontal="center" vertical="top"/>
    </xf>
    <xf numFmtId="0" fontId="74" fillId="0" borderId="2" xfId="0" applyFont="1" applyBorder="1" applyAlignment="1">
      <alignment horizontal="center"/>
    </xf>
    <xf numFmtId="0" fontId="8" fillId="3" borderId="2" xfId="0" applyNumberFormat="1" applyFont="1" applyFill="1" applyBorder="1" applyAlignment="1">
      <alignment horizontal="center"/>
    </xf>
    <xf numFmtId="0" fontId="12" fillId="0" borderId="22" xfId="0" applyFont="1" applyBorder="1" applyAlignment="1">
      <alignment horizontal="center"/>
    </xf>
    <xf numFmtId="0" fontId="12" fillId="0" borderId="26" xfId="0" applyFont="1" applyBorder="1" applyAlignment="1">
      <alignment horizontal="center"/>
    </xf>
    <xf numFmtId="0" fontId="54" fillId="24" borderId="2" xfId="0" applyFont="1" applyFill="1" applyBorder="1" applyAlignment="1">
      <alignment horizontal="center"/>
    </xf>
    <xf numFmtId="0" fontId="13" fillId="2" borderId="2" xfId="0" applyNumberFormat="1" applyFont="1" applyFill="1" applyBorder="1" applyAlignment="1">
      <alignment horizontal="center" vertical="center" wrapText="1"/>
    </xf>
    <xf numFmtId="0" fontId="0" fillId="37" borderId="0" xfId="0" applyFill="1"/>
    <xf numFmtId="0" fontId="49" fillId="37" borderId="0" xfId="0" applyFont="1" applyFill="1"/>
    <xf numFmtId="0" fontId="1" fillId="0" borderId="0" xfId="0" applyFont="1"/>
    <xf numFmtId="0" fontId="49" fillId="40" borderId="0" xfId="0" applyFont="1" applyFill="1"/>
    <xf numFmtId="0" fontId="0" fillId="40" borderId="0" xfId="0" applyFill="1"/>
    <xf numFmtId="0" fontId="49" fillId="27" borderId="0" xfId="0" applyFont="1" applyFill="1"/>
    <xf numFmtId="0" fontId="13" fillId="27" borderId="2" xfId="0" applyFont="1" applyFill="1" applyBorder="1" applyAlignment="1">
      <alignment horizontal="center" vertical="center" wrapText="1"/>
    </xf>
    <xf numFmtId="0" fontId="0" fillId="0" borderId="0" xfId="0" applyAlignment="1">
      <alignment horizontal="left" shrinkToFit="1"/>
    </xf>
    <xf numFmtId="0" fontId="0" fillId="27" borderId="2" xfId="0" applyFill="1" applyBorder="1"/>
    <xf numFmtId="0" fontId="13" fillId="0" borderId="2" xfId="0" applyFont="1" applyFill="1" applyBorder="1" applyAlignment="1">
      <alignment horizontal="center" vertical="center" wrapText="1"/>
    </xf>
    <xf numFmtId="177" fontId="45" fillId="0" borderId="61" xfId="6" applyNumberFormat="1" applyAlignment="1">
      <alignment horizontal="center"/>
    </xf>
    <xf numFmtId="177" fontId="0" fillId="0" borderId="0" xfId="0" applyNumberFormat="1" applyAlignment="1">
      <alignment horizontal="center"/>
    </xf>
    <xf numFmtId="177" fontId="13" fillId="27" borderId="2" xfId="0" applyNumberFormat="1" applyFont="1" applyFill="1" applyBorder="1" applyAlignment="1">
      <alignment horizontal="center" vertical="center" wrapText="1"/>
    </xf>
    <xf numFmtId="177" fontId="0" fillId="27" borderId="0" xfId="0" applyNumberFormat="1" applyFill="1" applyAlignment="1">
      <alignment horizontal="center"/>
    </xf>
    <xf numFmtId="0" fontId="0" fillId="27" borderId="0" xfId="0" applyFill="1" applyAlignment="1">
      <alignment horizontal="center"/>
    </xf>
    <xf numFmtId="0" fontId="0" fillId="0" borderId="0" xfId="0" quotePrefix="1" applyNumberFormat="1" applyAlignment="1">
      <alignment shrinkToFit="1"/>
    </xf>
  </cellXfs>
  <cellStyles count="34">
    <cellStyle name="Comma" xfId="1" builtinId="3"/>
    <cellStyle name="Comma 2" xfId="2"/>
    <cellStyle name="Comma 3" xfId="3"/>
    <cellStyle name="Currency" xfId="4" builtinId="4"/>
    <cellStyle name="Currency 2" xfId="5"/>
    <cellStyle name="Heading 1" xfId="6" builtinId="16"/>
    <cellStyle name="Heading 2" xfId="7" builtinId="17"/>
    <cellStyle name="Heading 3" xfId="8" builtinId="18"/>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ill>
        <patternFill>
          <bgColor theme="6" tint="0.79998168889431442"/>
        </patternFill>
      </fill>
    </dxf>
    <dxf>
      <font>
        <b/>
        <i val="0"/>
      </font>
    </dxf>
    <dxf>
      <font>
        <b/>
        <i val="0"/>
      </font>
    </dxf>
    <dxf>
      <font>
        <b/>
        <i val="0"/>
      </font>
    </dxf>
  </dxfs>
  <tableStyles count="0" defaultTableStyle="TableStyleMedium9" defaultPivotStyle="PivotStyleLight16"/>
  <colors>
    <mruColors>
      <color rgb="FFFFFFCC"/>
      <color rgb="FFCC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361950</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361950</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workbookViewId="0"/>
    <sheetView workbookViewId="1"/>
  </sheetViews>
  <sheetFormatPr defaultColWidth="0" defaultRowHeight="15" customHeight="1" zeroHeight="1"/>
  <cols>
    <col min="1" max="1" width="3.5703125" style="767" customWidth="1"/>
    <col min="2" max="2" width="27.28515625" style="767" customWidth="1"/>
    <col min="3" max="3" width="3.5703125" style="767" customWidth="1"/>
    <col min="4" max="4" width="9.28515625" style="767" customWidth="1"/>
    <col min="5" max="5" width="9.140625" style="767" customWidth="1"/>
    <col min="6" max="7" width="9.28515625" style="767" customWidth="1"/>
    <col min="8" max="11" width="10.140625" style="767" customWidth="1"/>
    <col min="12" max="12" width="6.7109375" style="767" customWidth="1"/>
    <col min="13" max="13" width="8.5703125" style="767" customWidth="1"/>
    <col min="14" max="14" width="7" style="767" hidden="1" customWidth="1"/>
    <col min="15" max="256" width="0" style="767" hidden="1"/>
    <col min="257" max="257" width="3.5703125" style="767" customWidth="1"/>
    <col min="258" max="258" width="27.28515625" style="767" customWidth="1"/>
    <col min="259" max="259" width="3.5703125" style="767" customWidth="1"/>
    <col min="260" max="260" width="9.28515625" style="767" customWidth="1"/>
    <col min="261" max="261" width="9.140625" style="767" customWidth="1"/>
    <col min="262" max="263" width="9.28515625" style="767" customWidth="1"/>
    <col min="264" max="267" width="10.140625" style="767" customWidth="1"/>
    <col min="268" max="268" width="6.7109375" style="767" customWidth="1"/>
    <col min="269" max="269" width="8.5703125" style="767" customWidth="1"/>
    <col min="270" max="270" width="0" style="767" hidden="1" customWidth="1"/>
    <col min="271" max="512" width="0" style="767" hidden="1"/>
    <col min="513" max="513" width="3.5703125" style="767" customWidth="1"/>
    <col min="514" max="514" width="27.28515625" style="767" customWidth="1"/>
    <col min="515" max="515" width="3.5703125" style="767" customWidth="1"/>
    <col min="516" max="516" width="9.28515625" style="767" customWidth="1"/>
    <col min="517" max="517" width="9.140625" style="767" customWidth="1"/>
    <col min="518" max="519" width="9.28515625" style="767" customWidth="1"/>
    <col min="520" max="523" width="10.140625" style="767" customWidth="1"/>
    <col min="524" max="524" width="6.7109375" style="767" customWidth="1"/>
    <col min="525" max="525" width="8.5703125" style="767" customWidth="1"/>
    <col min="526" max="526" width="0" style="767" hidden="1" customWidth="1"/>
    <col min="527" max="768" width="0" style="767" hidden="1"/>
    <col min="769" max="769" width="3.5703125" style="767" customWidth="1"/>
    <col min="770" max="770" width="27.28515625" style="767" customWidth="1"/>
    <col min="771" max="771" width="3.5703125" style="767" customWidth="1"/>
    <col min="772" max="772" width="9.28515625" style="767" customWidth="1"/>
    <col min="773" max="773" width="9.140625" style="767" customWidth="1"/>
    <col min="774" max="775" width="9.28515625" style="767" customWidth="1"/>
    <col min="776" max="779" width="10.140625" style="767" customWidth="1"/>
    <col min="780" max="780" width="6.7109375" style="767" customWidth="1"/>
    <col min="781" max="781" width="8.5703125" style="767" customWidth="1"/>
    <col min="782" max="782" width="0" style="767" hidden="1" customWidth="1"/>
    <col min="783" max="1024" width="0" style="767" hidden="1"/>
    <col min="1025" max="1025" width="3.5703125" style="767" customWidth="1"/>
    <col min="1026" max="1026" width="27.28515625" style="767" customWidth="1"/>
    <col min="1027" max="1027" width="3.5703125" style="767" customWidth="1"/>
    <col min="1028" max="1028" width="9.28515625" style="767" customWidth="1"/>
    <col min="1029" max="1029" width="9.140625" style="767" customWidth="1"/>
    <col min="1030" max="1031" width="9.28515625" style="767" customWidth="1"/>
    <col min="1032" max="1035" width="10.140625" style="767" customWidth="1"/>
    <col min="1036" max="1036" width="6.7109375" style="767" customWidth="1"/>
    <col min="1037" max="1037" width="8.5703125" style="767" customWidth="1"/>
    <col min="1038" max="1038" width="0" style="767" hidden="1" customWidth="1"/>
    <col min="1039" max="1280" width="0" style="767" hidden="1"/>
    <col min="1281" max="1281" width="3.5703125" style="767" customWidth="1"/>
    <col min="1282" max="1282" width="27.28515625" style="767" customWidth="1"/>
    <col min="1283" max="1283" width="3.5703125" style="767" customWidth="1"/>
    <col min="1284" max="1284" width="9.28515625" style="767" customWidth="1"/>
    <col min="1285" max="1285" width="9.140625" style="767" customWidth="1"/>
    <col min="1286" max="1287" width="9.28515625" style="767" customWidth="1"/>
    <col min="1288" max="1291" width="10.140625" style="767" customWidth="1"/>
    <col min="1292" max="1292" width="6.7109375" style="767" customWidth="1"/>
    <col min="1293" max="1293" width="8.5703125" style="767" customWidth="1"/>
    <col min="1294" max="1294" width="0" style="767" hidden="1" customWidth="1"/>
    <col min="1295" max="1536" width="0" style="767" hidden="1"/>
    <col min="1537" max="1537" width="3.5703125" style="767" customWidth="1"/>
    <col min="1538" max="1538" width="27.28515625" style="767" customWidth="1"/>
    <col min="1539" max="1539" width="3.5703125" style="767" customWidth="1"/>
    <col min="1540" max="1540" width="9.28515625" style="767" customWidth="1"/>
    <col min="1541" max="1541" width="9.140625" style="767" customWidth="1"/>
    <col min="1542" max="1543" width="9.28515625" style="767" customWidth="1"/>
    <col min="1544" max="1547" width="10.140625" style="767" customWidth="1"/>
    <col min="1548" max="1548" width="6.7109375" style="767" customWidth="1"/>
    <col min="1549" max="1549" width="8.5703125" style="767" customWidth="1"/>
    <col min="1550" max="1550" width="0" style="767" hidden="1" customWidth="1"/>
    <col min="1551" max="1792" width="0" style="767" hidden="1"/>
    <col min="1793" max="1793" width="3.5703125" style="767" customWidth="1"/>
    <col min="1794" max="1794" width="27.28515625" style="767" customWidth="1"/>
    <col min="1795" max="1795" width="3.5703125" style="767" customWidth="1"/>
    <col min="1796" max="1796" width="9.28515625" style="767" customWidth="1"/>
    <col min="1797" max="1797" width="9.140625" style="767" customWidth="1"/>
    <col min="1798" max="1799" width="9.28515625" style="767" customWidth="1"/>
    <col min="1800" max="1803" width="10.140625" style="767" customWidth="1"/>
    <col min="1804" max="1804" width="6.7109375" style="767" customWidth="1"/>
    <col min="1805" max="1805" width="8.5703125" style="767" customWidth="1"/>
    <col min="1806" max="1806" width="0" style="767" hidden="1" customWidth="1"/>
    <col min="1807" max="2048" width="0" style="767" hidden="1"/>
    <col min="2049" max="2049" width="3.5703125" style="767" customWidth="1"/>
    <col min="2050" max="2050" width="27.28515625" style="767" customWidth="1"/>
    <col min="2051" max="2051" width="3.5703125" style="767" customWidth="1"/>
    <col min="2052" max="2052" width="9.28515625" style="767" customWidth="1"/>
    <col min="2053" max="2053" width="9.140625" style="767" customWidth="1"/>
    <col min="2054" max="2055" width="9.28515625" style="767" customWidth="1"/>
    <col min="2056" max="2059" width="10.140625" style="767" customWidth="1"/>
    <col min="2060" max="2060" width="6.7109375" style="767" customWidth="1"/>
    <col min="2061" max="2061" width="8.5703125" style="767" customWidth="1"/>
    <col min="2062" max="2062" width="0" style="767" hidden="1" customWidth="1"/>
    <col min="2063" max="2304" width="0" style="767" hidden="1"/>
    <col min="2305" max="2305" width="3.5703125" style="767" customWidth="1"/>
    <col min="2306" max="2306" width="27.28515625" style="767" customWidth="1"/>
    <col min="2307" max="2307" width="3.5703125" style="767" customWidth="1"/>
    <col min="2308" max="2308" width="9.28515625" style="767" customWidth="1"/>
    <col min="2309" max="2309" width="9.140625" style="767" customWidth="1"/>
    <col min="2310" max="2311" width="9.28515625" style="767" customWidth="1"/>
    <col min="2312" max="2315" width="10.140625" style="767" customWidth="1"/>
    <col min="2316" max="2316" width="6.7109375" style="767" customWidth="1"/>
    <col min="2317" max="2317" width="8.5703125" style="767" customWidth="1"/>
    <col min="2318" max="2318" width="0" style="767" hidden="1" customWidth="1"/>
    <col min="2319" max="2560" width="0" style="767" hidden="1"/>
    <col min="2561" max="2561" width="3.5703125" style="767" customWidth="1"/>
    <col min="2562" max="2562" width="27.28515625" style="767" customWidth="1"/>
    <col min="2563" max="2563" width="3.5703125" style="767" customWidth="1"/>
    <col min="2564" max="2564" width="9.28515625" style="767" customWidth="1"/>
    <col min="2565" max="2565" width="9.140625" style="767" customWidth="1"/>
    <col min="2566" max="2567" width="9.28515625" style="767" customWidth="1"/>
    <col min="2568" max="2571" width="10.140625" style="767" customWidth="1"/>
    <col min="2572" max="2572" width="6.7109375" style="767" customWidth="1"/>
    <col min="2573" max="2573" width="8.5703125" style="767" customWidth="1"/>
    <col min="2574" max="2574" width="0" style="767" hidden="1" customWidth="1"/>
    <col min="2575" max="2816" width="0" style="767" hidden="1"/>
    <col min="2817" max="2817" width="3.5703125" style="767" customWidth="1"/>
    <col min="2818" max="2818" width="27.28515625" style="767" customWidth="1"/>
    <col min="2819" max="2819" width="3.5703125" style="767" customWidth="1"/>
    <col min="2820" max="2820" width="9.28515625" style="767" customWidth="1"/>
    <col min="2821" max="2821" width="9.140625" style="767" customWidth="1"/>
    <col min="2822" max="2823" width="9.28515625" style="767" customWidth="1"/>
    <col min="2824" max="2827" width="10.140625" style="767" customWidth="1"/>
    <col min="2828" max="2828" width="6.7109375" style="767" customWidth="1"/>
    <col min="2829" max="2829" width="8.5703125" style="767" customWidth="1"/>
    <col min="2830" max="2830" width="0" style="767" hidden="1" customWidth="1"/>
    <col min="2831" max="3072" width="0" style="767" hidden="1"/>
    <col min="3073" max="3073" width="3.5703125" style="767" customWidth="1"/>
    <col min="3074" max="3074" width="27.28515625" style="767" customWidth="1"/>
    <col min="3075" max="3075" width="3.5703125" style="767" customWidth="1"/>
    <col min="3076" max="3076" width="9.28515625" style="767" customWidth="1"/>
    <col min="3077" max="3077" width="9.140625" style="767" customWidth="1"/>
    <col min="3078" max="3079" width="9.28515625" style="767" customWidth="1"/>
    <col min="3080" max="3083" width="10.140625" style="767" customWidth="1"/>
    <col min="3084" max="3084" width="6.7109375" style="767" customWidth="1"/>
    <col min="3085" max="3085" width="8.5703125" style="767" customWidth="1"/>
    <col min="3086" max="3086" width="0" style="767" hidden="1" customWidth="1"/>
    <col min="3087" max="3328" width="0" style="767" hidden="1"/>
    <col min="3329" max="3329" width="3.5703125" style="767" customWidth="1"/>
    <col min="3330" max="3330" width="27.28515625" style="767" customWidth="1"/>
    <col min="3331" max="3331" width="3.5703125" style="767" customWidth="1"/>
    <col min="3332" max="3332" width="9.28515625" style="767" customWidth="1"/>
    <col min="3333" max="3333" width="9.140625" style="767" customWidth="1"/>
    <col min="3334" max="3335" width="9.28515625" style="767" customWidth="1"/>
    <col min="3336" max="3339" width="10.140625" style="767" customWidth="1"/>
    <col min="3340" max="3340" width="6.7109375" style="767" customWidth="1"/>
    <col min="3341" max="3341" width="8.5703125" style="767" customWidth="1"/>
    <col min="3342" max="3342" width="0" style="767" hidden="1" customWidth="1"/>
    <col min="3343" max="3584" width="0" style="767" hidden="1"/>
    <col min="3585" max="3585" width="3.5703125" style="767" customWidth="1"/>
    <col min="3586" max="3586" width="27.28515625" style="767" customWidth="1"/>
    <col min="3587" max="3587" width="3.5703125" style="767" customWidth="1"/>
    <col min="3588" max="3588" width="9.28515625" style="767" customWidth="1"/>
    <col min="3589" max="3589" width="9.140625" style="767" customWidth="1"/>
    <col min="3590" max="3591" width="9.28515625" style="767" customWidth="1"/>
    <col min="3592" max="3595" width="10.140625" style="767" customWidth="1"/>
    <col min="3596" max="3596" width="6.7109375" style="767" customWidth="1"/>
    <col min="3597" max="3597" width="8.5703125" style="767" customWidth="1"/>
    <col min="3598" max="3598" width="0" style="767" hidden="1" customWidth="1"/>
    <col min="3599" max="3840" width="0" style="767" hidden="1"/>
    <col min="3841" max="3841" width="3.5703125" style="767" customWidth="1"/>
    <col min="3842" max="3842" width="27.28515625" style="767" customWidth="1"/>
    <col min="3843" max="3843" width="3.5703125" style="767" customWidth="1"/>
    <col min="3844" max="3844" width="9.28515625" style="767" customWidth="1"/>
    <col min="3845" max="3845" width="9.140625" style="767" customWidth="1"/>
    <col min="3846" max="3847" width="9.28515625" style="767" customWidth="1"/>
    <col min="3848" max="3851" width="10.140625" style="767" customWidth="1"/>
    <col min="3852" max="3852" width="6.7109375" style="767" customWidth="1"/>
    <col min="3853" max="3853" width="8.5703125" style="767" customWidth="1"/>
    <col min="3854" max="3854" width="0" style="767" hidden="1" customWidth="1"/>
    <col min="3855" max="4096" width="0" style="767" hidden="1"/>
    <col min="4097" max="4097" width="3.5703125" style="767" customWidth="1"/>
    <col min="4098" max="4098" width="27.28515625" style="767" customWidth="1"/>
    <col min="4099" max="4099" width="3.5703125" style="767" customWidth="1"/>
    <col min="4100" max="4100" width="9.28515625" style="767" customWidth="1"/>
    <col min="4101" max="4101" width="9.140625" style="767" customWidth="1"/>
    <col min="4102" max="4103" width="9.28515625" style="767" customWidth="1"/>
    <col min="4104" max="4107" width="10.140625" style="767" customWidth="1"/>
    <col min="4108" max="4108" width="6.7109375" style="767" customWidth="1"/>
    <col min="4109" max="4109" width="8.5703125" style="767" customWidth="1"/>
    <col min="4110" max="4110" width="0" style="767" hidden="1" customWidth="1"/>
    <col min="4111" max="4352" width="0" style="767" hidden="1"/>
    <col min="4353" max="4353" width="3.5703125" style="767" customWidth="1"/>
    <col min="4354" max="4354" width="27.28515625" style="767" customWidth="1"/>
    <col min="4355" max="4355" width="3.5703125" style="767" customWidth="1"/>
    <col min="4356" max="4356" width="9.28515625" style="767" customWidth="1"/>
    <col min="4357" max="4357" width="9.140625" style="767" customWidth="1"/>
    <col min="4358" max="4359" width="9.28515625" style="767" customWidth="1"/>
    <col min="4360" max="4363" width="10.140625" style="767" customWidth="1"/>
    <col min="4364" max="4364" width="6.7109375" style="767" customWidth="1"/>
    <col min="4365" max="4365" width="8.5703125" style="767" customWidth="1"/>
    <col min="4366" max="4366" width="0" style="767" hidden="1" customWidth="1"/>
    <col min="4367" max="4608" width="0" style="767" hidden="1"/>
    <col min="4609" max="4609" width="3.5703125" style="767" customWidth="1"/>
    <col min="4610" max="4610" width="27.28515625" style="767" customWidth="1"/>
    <col min="4611" max="4611" width="3.5703125" style="767" customWidth="1"/>
    <col min="4612" max="4612" width="9.28515625" style="767" customWidth="1"/>
    <col min="4613" max="4613" width="9.140625" style="767" customWidth="1"/>
    <col min="4614" max="4615" width="9.28515625" style="767" customWidth="1"/>
    <col min="4616" max="4619" width="10.140625" style="767" customWidth="1"/>
    <col min="4620" max="4620" width="6.7109375" style="767" customWidth="1"/>
    <col min="4621" max="4621" width="8.5703125" style="767" customWidth="1"/>
    <col min="4622" max="4622" width="0" style="767" hidden="1" customWidth="1"/>
    <col min="4623" max="4864" width="0" style="767" hidden="1"/>
    <col min="4865" max="4865" width="3.5703125" style="767" customWidth="1"/>
    <col min="4866" max="4866" width="27.28515625" style="767" customWidth="1"/>
    <col min="4867" max="4867" width="3.5703125" style="767" customWidth="1"/>
    <col min="4868" max="4868" width="9.28515625" style="767" customWidth="1"/>
    <col min="4869" max="4869" width="9.140625" style="767" customWidth="1"/>
    <col min="4870" max="4871" width="9.28515625" style="767" customWidth="1"/>
    <col min="4872" max="4875" width="10.140625" style="767" customWidth="1"/>
    <col min="4876" max="4876" width="6.7109375" style="767" customWidth="1"/>
    <col min="4877" max="4877" width="8.5703125" style="767" customWidth="1"/>
    <col min="4878" max="4878" width="0" style="767" hidden="1" customWidth="1"/>
    <col min="4879" max="5120" width="0" style="767" hidden="1"/>
    <col min="5121" max="5121" width="3.5703125" style="767" customWidth="1"/>
    <col min="5122" max="5122" width="27.28515625" style="767" customWidth="1"/>
    <col min="5123" max="5123" width="3.5703125" style="767" customWidth="1"/>
    <col min="5124" max="5124" width="9.28515625" style="767" customWidth="1"/>
    <col min="5125" max="5125" width="9.140625" style="767" customWidth="1"/>
    <col min="5126" max="5127" width="9.28515625" style="767" customWidth="1"/>
    <col min="5128" max="5131" width="10.140625" style="767" customWidth="1"/>
    <col min="5132" max="5132" width="6.7109375" style="767" customWidth="1"/>
    <col min="5133" max="5133" width="8.5703125" style="767" customWidth="1"/>
    <col min="5134" max="5134" width="0" style="767" hidden="1" customWidth="1"/>
    <col min="5135" max="5376" width="0" style="767" hidden="1"/>
    <col min="5377" max="5377" width="3.5703125" style="767" customWidth="1"/>
    <col min="5378" max="5378" width="27.28515625" style="767" customWidth="1"/>
    <col min="5379" max="5379" width="3.5703125" style="767" customWidth="1"/>
    <col min="5380" max="5380" width="9.28515625" style="767" customWidth="1"/>
    <col min="5381" max="5381" width="9.140625" style="767" customWidth="1"/>
    <col min="5382" max="5383" width="9.28515625" style="767" customWidth="1"/>
    <col min="5384" max="5387" width="10.140625" style="767" customWidth="1"/>
    <col min="5388" max="5388" width="6.7109375" style="767" customWidth="1"/>
    <col min="5389" max="5389" width="8.5703125" style="767" customWidth="1"/>
    <col min="5390" max="5390" width="0" style="767" hidden="1" customWidth="1"/>
    <col min="5391" max="5632" width="0" style="767" hidden="1"/>
    <col min="5633" max="5633" width="3.5703125" style="767" customWidth="1"/>
    <col min="5634" max="5634" width="27.28515625" style="767" customWidth="1"/>
    <col min="5635" max="5635" width="3.5703125" style="767" customWidth="1"/>
    <col min="5636" max="5636" width="9.28515625" style="767" customWidth="1"/>
    <col min="5637" max="5637" width="9.140625" style="767" customWidth="1"/>
    <col min="5638" max="5639" width="9.28515625" style="767" customWidth="1"/>
    <col min="5640" max="5643" width="10.140625" style="767" customWidth="1"/>
    <col min="5644" max="5644" width="6.7109375" style="767" customWidth="1"/>
    <col min="5645" max="5645" width="8.5703125" style="767" customWidth="1"/>
    <col min="5646" max="5646" width="0" style="767" hidden="1" customWidth="1"/>
    <col min="5647" max="5888" width="0" style="767" hidden="1"/>
    <col min="5889" max="5889" width="3.5703125" style="767" customWidth="1"/>
    <col min="5890" max="5890" width="27.28515625" style="767" customWidth="1"/>
    <col min="5891" max="5891" width="3.5703125" style="767" customWidth="1"/>
    <col min="5892" max="5892" width="9.28515625" style="767" customWidth="1"/>
    <col min="5893" max="5893" width="9.140625" style="767" customWidth="1"/>
    <col min="5894" max="5895" width="9.28515625" style="767" customWidth="1"/>
    <col min="5896" max="5899" width="10.140625" style="767" customWidth="1"/>
    <col min="5900" max="5900" width="6.7109375" style="767" customWidth="1"/>
    <col min="5901" max="5901" width="8.5703125" style="767" customWidth="1"/>
    <col min="5902" max="5902" width="0" style="767" hidden="1" customWidth="1"/>
    <col min="5903" max="6144" width="0" style="767" hidden="1"/>
    <col min="6145" max="6145" width="3.5703125" style="767" customWidth="1"/>
    <col min="6146" max="6146" width="27.28515625" style="767" customWidth="1"/>
    <col min="6147" max="6147" width="3.5703125" style="767" customWidth="1"/>
    <col min="6148" max="6148" width="9.28515625" style="767" customWidth="1"/>
    <col min="6149" max="6149" width="9.140625" style="767" customWidth="1"/>
    <col min="6150" max="6151" width="9.28515625" style="767" customWidth="1"/>
    <col min="6152" max="6155" width="10.140625" style="767" customWidth="1"/>
    <col min="6156" max="6156" width="6.7109375" style="767" customWidth="1"/>
    <col min="6157" max="6157" width="8.5703125" style="767" customWidth="1"/>
    <col min="6158" max="6158" width="0" style="767" hidden="1" customWidth="1"/>
    <col min="6159" max="6400" width="0" style="767" hidden="1"/>
    <col min="6401" max="6401" width="3.5703125" style="767" customWidth="1"/>
    <col min="6402" max="6402" width="27.28515625" style="767" customWidth="1"/>
    <col min="6403" max="6403" width="3.5703125" style="767" customWidth="1"/>
    <col min="6404" max="6404" width="9.28515625" style="767" customWidth="1"/>
    <col min="6405" max="6405" width="9.140625" style="767" customWidth="1"/>
    <col min="6406" max="6407" width="9.28515625" style="767" customWidth="1"/>
    <col min="6408" max="6411" width="10.140625" style="767" customWidth="1"/>
    <col min="6412" max="6412" width="6.7109375" style="767" customWidth="1"/>
    <col min="6413" max="6413" width="8.5703125" style="767" customWidth="1"/>
    <col min="6414" max="6414" width="0" style="767" hidden="1" customWidth="1"/>
    <col min="6415" max="6656" width="0" style="767" hidden="1"/>
    <col min="6657" max="6657" width="3.5703125" style="767" customWidth="1"/>
    <col min="6658" max="6658" width="27.28515625" style="767" customWidth="1"/>
    <col min="6659" max="6659" width="3.5703125" style="767" customWidth="1"/>
    <col min="6660" max="6660" width="9.28515625" style="767" customWidth="1"/>
    <col min="6661" max="6661" width="9.140625" style="767" customWidth="1"/>
    <col min="6662" max="6663" width="9.28515625" style="767" customWidth="1"/>
    <col min="6664" max="6667" width="10.140625" style="767" customWidth="1"/>
    <col min="6668" max="6668" width="6.7109375" style="767" customWidth="1"/>
    <col min="6669" max="6669" width="8.5703125" style="767" customWidth="1"/>
    <col min="6670" max="6670" width="0" style="767" hidden="1" customWidth="1"/>
    <col min="6671" max="6912" width="0" style="767" hidden="1"/>
    <col min="6913" max="6913" width="3.5703125" style="767" customWidth="1"/>
    <col min="6914" max="6914" width="27.28515625" style="767" customWidth="1"/>
    <col min="6915" max="6915" width="3.5703125" style="767" customWidth="1"/>
    <col min="6916" max="6916" width="9.28515625" style="767" customWidth="1"/>
    <col min="6917" max="6917" width="9.140625" style="767" customWidth="1"/>
    <col min="6918" max="6919" width="9.28515625" style="767" customWidth="1"/>
    <col min="6920" max="6923" width="10.140625" style="767" customWidth="1"/>
    <col min="6924" max="6924" width="6.7109375" style="767" customWidth="1"/>
    <col min="6925" max="6925" width="8.5703125" style="767" customWidth="1"/>
    <col min="6926" max="6926" width="0" style="767" hidden="1" customWidth="1"/>
    <col min="6927" max="7168" width="0" style="767" hidden="1"/>
    <col min="7169" max="7169" width="3.5703125" style="767" customWidth="1"/>
    <col min="7170" max="7170" width="27.28515625" style="767" customWidth="1"/>
    <col min="7171" max="7171" width="3.5703125" style="767" customWidth="1"/>
    <col min="7172" max="7172" width="9.28515625" style="767" customWidth="1"/>
    <col min="7173" max="7173" width="9.140625" style="767" customWidth="1"/>
    <col min="7174" max="7175" width="9.28515625" style="767" customWidth="1"/>
    <col min="7176" max="7179" width="10.140625" style="767" customWidth="1"/>
    <col min="7180" max="7180" width="6.7109375" style="767" customWidth="1"/>
    <col min="7181" max="7181" width="8.5703125" style="767" customWidth="1"/>
    <col min="7182" max="7182" width="0" style="767" hidden="1" customWidth="1"/>
    <col min="7183" max="7424" width="0" style="767" hidden="1"/>
    <col min="7425" max="7425" width="3.5703125" style="767" customWidth="1"/>
    <col min="7426" max="7426" width="27.28515625" style="767" customWidth="1"/>
    <col min="7427" max="7427" width="3.5703125" style="767" customWidth="1"/>
    <col min="7428" max="7428" width="9.28515625" style="767" customWidth="1"/>
    <col min="7429" max="7429" width="9.140625" style="767" customWidth="1"/>
    <col min="7430" max="7431" width="9.28515625" style="767" customWidth="1"/>
    <col min="7432" max="7435" width="10.140625" style="767" customWidth="1"/>
    <col min="7436" max="7436" width="6.7109375" style="767" customWidth="1"/>
    <col min="7437" max="7437" width="8.5703125" style="767" customWidth="1"/>
    <col min="7438" max="7438" width="0" style="767" hidden="1" customWidth="1"/>
    <col min="7439" max="7680" width="0" style="767" hidden="1"/>
    <col min="7681" max="7681" width="3.5703125" style="767" customWidth="1"/>
    <col min="7682" max="7682" width="27.28515625" style="767" customWidth="1"/>
    <col min="7683" max="7683" width="3.5703125" style="767" customWidth="1"/>
    <col min="7684" max="7684" width="9.28515625" style="767" customWidth="1"/>
    <col min="7685" max="7685" width="9.140625" style="767" customWidth="1"/>
    <col min="7686" max="7687" width="9.28515625" style="767" customWidth="1"/>
    <col min="7688" max="7691" width="10.140625" style="767" customWidth="1"/>
    <col min="7692" max="7692" width="6.7109375" style="767" customWidth="1"/>
    <col min="7693" max="7693" width="8.5703125" style="767" customWidth="1"/>
    <col min="7694" max="7694" width="0" style="767" hidden="1" customWidth="1"/>
    <col min="7695" max="7936" width="0" style="767" hidden="1"/>
    <col min="7937" max="7937" width="3.5703125" style="767" customWidth="1"/>
    <col min="7938" max="7938" width="27.28515625" style="767" customWidth="1"/>
    <col min="7939" max="7939" width="3.5703125" style="767" customWidth="1"/>
    <col min="7940" max="7940" width="9.28515625" style="767" customWidth="1"/>
    <col min="7941" max="7941" width="9.140625" style="767" customWidth="1"/>
    <col min="7942" max="7943" width="9.28515625" style="767" customWidth="1"/>
    <col min="7944" max="7947" width="10.140625" style="767" customWidth="1"/>
    <col min="7948" max="7948" width="6.7109375" style="767" customWidth="1"/>
    <col min="7949" max="7949" width="8.5703125" style="767" customWidth="1"/>
    <col min="7950" max="7950" width="0" style="767" hidden="1" customWidth="1"/>
    <col min="7951" max="8192" width="0" style="767" hidden="1"/>
    <col min="8193" max="8193" width="3.5703125" style="767" customWidth="1"/>
    <col min="8194" max="8194" width="27.28515625" style="767" customWidth="1"/>
    <col min="8195" max="8195" width="3.5703125" style="767" customWidth="1"/>
    <col min="8196" max="8196" width="9.28515625" style="767" customWidth="1"/>
    <col min="8197" max="8197" width="9.140625" style="767" customWidth="1"/>
    <col min="8198" max="8199" width="9.28515625" style="767" customWidth="1"/>
    <col min="8200" max="8203" width="10.140625" style="767" customWidth="1"/>
    <col min="8204" max="8204" width="6.7109375" style="767" customWidth="1"/>
    <col min="8205" max="8205" width="8.5703125" style="767" customWidth="1"/>
    <col min="8206" max="8206" width="0" style="767" hidden="1" customWidth="1"/>
    <col min="8207" max="8448" width="0" style="767" hidden="1"/>
    <col min="8449" max="8449" width="3.5703125" style="767" customWidth="1"/>
    <col min="8450" max="8450" width="27.28515625" style="767" customWidth="1"/>
    <col min="8451" max="8451" width="3.5703125" style="767" customWidth="1"/>
    <col min="8452" max="8452" width="9.28515625" style="767" customWidth="1"/>
    <col min="8453" max="8453" width="9.140625" style="767" customWidth="1"/>
    <col min="8454" max="8455" width="9.28515625" style="767" customWidth="1"/>
    <col min="8456" max="8459" width="10.140625" style="767" customWidth="1"/>
    <col min="8460" max="8460" width="6.7109375" style="767" customWidth="1"/>
    <col min="8461" max="8461" width="8.5703125" style="767" customWidth="1"/>
    <col min="8462" max="8462" width="0" style="767" hidden="1" customWidth="1"/>
    <col min="8463" max="8704" width="0" style="767" hidden="1"/>
    <col min="8705" max="8705" width="3.5703125" style="767" customWidth="1"/>
    <col min="8706" max="8706" width="27.28515625" style="767" customWidth="1"/>
    <col min="8707" max="8707" width="3.5703125" style="767" customWidth="1"/>
    <col min="8708" max="8708" width="9.28515625" style="767" customWidth="1"/>
    <col min="8709" max="8709" width="9.140625" style="767" customWidth="1"/>
    <col min="8710" max="8711" width="9.28515625" style="767" customWidth="1"/>
    <col min="8712" max="8715" width="10.140625" style="767" customWidth="1"/>
    <col min="8716" max="8716" width="6.7109375" style="767" customWidth="1"/>
    <col min="8717" max="8717" width="8.5703125" style="767" customWidth="1"/>
    <col min="8718" max="8718" width="0" style="767" hidden="1" customWidth="1"/>
    <col min="8719" max="8960" width="0" style="767" hidden="1"/>
    <col min="8961" max="8961" width="3.5703125" style="767" customWidth="1"/>
    <col min="8962" max="8962" width="27.28515625" style="767" customWidth="1"/>
    <col min="8963" max="8963" width="3.5703125" style="767" customWidth="1"/>
    <col min="8964" max="8964" width="9.28515625" style="767" customWidth="1"/>
    <col min="8965" max="8965" width="9.140625" style="767" customWidth="1"/>
    <col min="8966" max="8967" width="9.28515625" style="767" customWidth="1"/>
    <col min="8968" max="8971" width="10.140625" style="767" customWidth="1"/>
    <col min="8972" max="8972" width="6.7109375" style="767" customWidth="1"/>
    <col min="8973" max="8973" width="8.5703125" style="767" customWidth="1"/>
    <col min="8974" max="8974" width="0" style="767" hidden="1" customWidth="1"/>
    <col min="8975" max="9216" width="0" style="767" hidden="1"/>
    <col min="9217" max="9217" width="3.5703125" style="767" customWidth="1"/>
    <col min="9218" max="9218" width="27.28515625" style="767" customWidth="1"/>
    <col min="9219" max="9219" width="3.5703125" style="767" customWidth="1"/>
    <col min="9220" max="9220" width="9.28515625" style="767" customWidth="1"/>
    <col min="9221" max="9221" width="9.140625" style="767" customWidth="1"/>
    <col min="9222" max="9223" width="9.28515625" style="767" customWidth="1"/>
    <col min="9224" max="9227" width="10.140625" style="767" customWidth="1"/>
    <col min="9228" max="9228" width="6.7109375" style="767" customWidth="1"/>
    <col min="9229" max="9229" width="8.5703125" style="767" customWidth="1"/>
    <col min="9230" max="9230" width="0" style="767" hidden="1" customWidth="1"/>
    <col min="9231" max="9472" width="0" style="767" hidden="1"/>
    <col min="9473" max="9473" width="3.5703125" style="767" customWidth="1"/>
    <col min="9474" max="9474" width="27.28515625" style="767" customWidth="1"/>
    <col min="9475" max="9475" width="3.5703125" style="767" customWidth="1"/>
    <col min="9476" max="9476" width="9.28515625" style="767" customWidth="1"/>
    <col min="9477" max="9477" width="9.140625" style="767" customWidth="1"/>
    <col min="9478" max="9479" width="9.28515625" style="767" customWidth="1"/>
    <col min="9480" max="9483" width="10.140625" style="767" customWidth="1"/>
    <col min="9484" max="9484" width="6.7109375" style="767" customWidth="1"/>
    <col min="9485" max="9485" width="8.5703125" style="767" customWidth="1"/>
    <col min="9486" max="9486" width="0" style="767" hidden="1" customWidth="1"/>
    <col min="9487" max="9728" width="0" style="767" hidden="1"/>
    <col min="9729" max="9729" width="3.5703125" style="767" customWidth="1"/>
    <col min="9730" max="9730" width="27.28515625" style="767" customWidth="1"/>
    <col min="9731" max="9731" width="3.5703125" style="767" customWidth="1"/>
    <col min="9732" max="9732" width="9.28515625" style="767" customWidth="1"/>
    <col min="9733" max="9733" width="9.140625" style="767" customWidth="1"/>
    <col min="9734" max="9735" width="9.28515625" style="767" customWidth="1"/>
    <col min="9736" max="9739" width="10.140625" style="767" customWidth="1"/>
    <col min="9740" max="9740" width="6.7109375" style="767" customWidth="1"/>
    <col min="9741" max="9741" width="8.5703125" style="767" customWidth="1"/>
    <col min="9742" max="9742" width="0" style="767" hidden="1" customWidth="1"/>
    <col min="9743" max="9984" width="0" style="767" hidden="1"/>
    <col min="9985" max="9985" width="3.5703125" style="767" customWidth="1"/>
    <col min="9986" max="9986" width="27.28515625" style="767" customWidth="1"/>
    <col min="9987" max="9987" width="3.5703125" style="767" customWidth="1"/>
    <col min="9988" max="9988" width="9.28515625" style="767" customWidth="1"/>
    <col min="9989" max="9989" width="9.140625" style="767" customWidth="1"/>
    <col min="9990" max="9991" width="9.28515625" style="767" customWidth="1"/>
    <col min="9992" max="9995" width="10.140625" style="767" customWidth="1"/>
    <col min="9996" max="9996" width="6.7109375" style="767" customWidth="1"/>
    <col min="9997" max="9997" width="8.5703125" style="767" customWidth="1"/>
    <col min="9998" max="9998" width="0" style="767" hidden="1" customWidth="1"/>
    <col min="9999" max="10240" width="0" style="767" hidden="1"/>
    <col min="10241" max="10241" width="3.5703125" style="767" customWidth="1"/>
    <col min="10242" max="10242" width="27.28515625" style="767" customWidth="1"/>
    <col min="10243" max="10243" width="3.5703125" style="767" customWidth="1"/>
    <col min="10244" max="10244" width="9.28515625" style="767" customWidth="1"/>
    <col min="10245" max="10245" width="9.140625" style="767" customWidth="1"/>
    <col min="10246" max="10247" width="9.28515625" style="767" customWidth="1"/>
    <col min="10248" max="10251" width="10.140625" style="767" customWidth="1"/>
    <col min="10252" max="10252" width="6.7109375" style="767" customWidth="1"/>
    <col min="10253" max="10253" width="8.5703125" style="767" customWidth="1"/>
    <col min="10254" max="10254" width="0" style="767" hidden="1" customWidth="1"/>
    <col min="10255" max="10496" width="0" style="767" hidden="1"/>
    <col min="10497" max="10497" width="3.5703125" style="767" customWidth="1"/>
    <col min="10498" max="10498" width="27.28515625" style="767" customWidth="1"/>
    <col min="10499" max="10499" width="3.5703125" style="767" customWidth="1"/>
    <col min="10500" max="10500" width="9.28515625" style="767" customWidth="1"/>
    <col min="10501" max="10501" width="9.140625" style="767" customWidth="1"/>
    <col min="10502" max="10503" width="9.28515625" style="767" customWidth="1"/>
    <col min="10504" max="10507" width="10.140625" style="767" customWidth="1"/>
    <col min="10508" max="10508" width="6.7109375" style="767" customWidth="1"/>
    <col min="10509" max="10509" width="8.5703125" style="767" customWidth="1"/>
    <col min="10510" max="10510" width="0" style="767" hidden="1" customWidth="1"/>
    <col min="10511" max="10752" width="0" style="767" hidden="1"/>
    <col min="10753" max="10753" width="3.5703125" style="767" customWidth="1"/>
    <col min="10754" max="10754" width="27.28515625" style="767" customWidth="1"/>
    <col min="10755" max="10755" width="3.5703125" style="767" customWidth="1"/>
    <col min="10756" max="10756" width="9.28515625" style="767" customWidth="1"/>
    <col min="10757" max="10757" width="9.140625" style="767" customWidth="1"/>
    <col min="10758" max="10759" width="9.28515625" style="767" customWidth="1"/>
    <col min="10760" max="10763" width="10.140625" style="767" customWidth="1"/>
    <col min="10764" max="10764" width="6.7109375" style="767" customWidth="1"/>
    <col min="10765" max="10765" width="8.5703125" style="767" customWidth="1"/>
    <col min="10766" max="10766" width="0" style="767" hidden="1" customWidth="1"/>
    <col min="10767" max="11008" width="0" style="767" hidden="1"/>
    <col min="11009" max="11009" width="3.5703125" style="767" customWidth="1"/>
    <col min="11010" max="11010" width="27.28515625" style="767" customWidth="1"/>
    <col min="11011" max="11011" width="3.5703125" style="767" customWidth="1"/>
    <col min="11012" max="11012" width="9.28515625" style="767" customWidth="1"/>
    <col min="11013" max="11013" width="9.140625" style="767" customWidth="1"/>
    <col min="11014" max="11015" width="9.28515625" style="767" customWidth="1"/>
    <col min="11016" max="11019" width="10.140625" style="767" customWidth="1"/>
    <col min="11020" max="11020" width="6.7109375" style="767" customWidth="1"/>
    <col min="11021" max="11021" width="8.5703125" style="767" customWidth="1"/>
    <col min="11022" max="11022" width="0" style="767" hidden="1" customWidth="1"/>
    <col min="11023" max="11264" width="0" style="767" hidden="1"/>
    <col min="11265" max="11265" width="3.5703125" style="767" customWidth="1"/>
    <col min="11266" max="11266" width="27.28515625" style="767" customWidth="1"/>
    <col min="11267" max="11267" width="3.5703125" style="767" customWidth="1"/>
    <col min="11268" max="11268" width="9.28515625" style="767" customWidth="1"/>
    <col min="11269" max="11269" width="9.140625" style="767" customWidth="1"/>
    <col min="11270" max="11271" width="9.28515625" style="767" customWidth="1"/>
    <col min="11272" max="11275" width="10.140625" style="767" customWidth="1"/>
    <col min="11276" max="11276" width="6.7109375" style="767" customWidth="1"/>
    <col min="11277" max="11277" width="8.5703125" style="767" customWidth="1"/>
    <col min="11278" max="11278" width="0" style="767" hidden="1" customWidth="1"/>
    <col min="11279" max="11520" width="0" style="767" hidden="1"/>
    <col min="11521" max="11521" width="3.5703125" style="767" customWidth="1"/>
    <col min="11522" max="11522" width="27.28515625" style="767" customWidth="1"/>
    <col min="11523" max="11523" width="3.5703125" style="767" customWidth="1"/>
    <col min="11524" max="11524" width="9.28515625" style="767" customWidth="1"/>
    <col min="11525" max="11525" width="9.140625" style="767" customWidth="1"/>
    <col min="11526" max="11527" width="9.28515625" style="767" customWidth="1"/>
    <col min="11528" max="11531" width="10.140625" style="767" customWidth="1"/>
    <col min="11532" max="11532" width="6.7109375" style="767" customWidth="1"/>
    <col min="11533" max="11533" width="8.5703125" style="767" customWidth="1"/>
    <col min="11534" max="11534" width="0" style="767" hidden="1" customWidth="1"/>
    <col min="11535" max="11776" width="0" style="767" hidden="1"/>
    <col min="11777" max="11777" width="3.5703125" style="767" customWidth="1"/>
    <col min="11778" max="11778" width="27.28515625" style="767" customWidth="1"/>
    <col min="11779" max="11779" width="3.5703125" style="767" customWidth="1"/>
    <col min="11780" max="11780" width="9.28515625" style="767" customWidth="1"/>
    <col min="11781" max="11781" width="9.140625" style="767" customWidth="1"/>
    <col min="11782" max="11783" width="9.28515625" style="767" customWidth="1"/>
    <col min="11784" max="11787" width="10.140625" style="767" customWidth="1"/>
    <col min="11788" max="11788" width="6.7109375" style="767" customWidth="1"/>
    <col min="11789" max="11789" width="8.5703125" style="767" customWidth="1"/>
    <col min="11790" max="11790" width="0" style="767" hidden="1" customWidth="1"/>
    <col min="11791" max="12032" width="0" style="767" hidden="1"/>
    <col min="12033" max="12033" width="3.5703125" style="767" customWidth="1"/>
    <col min="12034" max="12034" width="27.28515625" style="767" customWidth="1"/>
    <col min="12035" max="12035" width="3.5703125" style="767" customWidth="1"/>
    <col min="12036" max="12036" width="9.28515625" style="767" customWidth="1"/>
    <col min="12037" max="12037" width="9.140625" style="767" customWidth="1"/>
    <col min="12038" max="12039" width="9.28515625" style="767" customWidth="1"/>
    <col min="12040" max="12043" width="10.140625" style="767" customWidth="1"/>
    <col min="12044" max="12044" width="6.7109375" style="767" customWidth="1"/>
    <col min="12045" max="12045" width="8.5703125" style="767" customWidth="1"/>
    <col min="12046" max="12046" width="0" style="767" hidden="1" customWidth="1"/>
    <col min="12047" max="12288" width="0" style="767" hidden="1"/>
    <col min="12289" max="12289" width="3.5703125" style="767" customWidth="1"/>
    <col min="12290" max="12290" width="27.28515625" style="767" customWidth="1"/>
    <col min="12291" max="12291" width="3.5703125" style="767" customWidth="1"/>
    <col min="12292" max="12292" width="9.28515625" style="767" customWidth="1"/>
    <col min="12293" max="12293" width="9.140625" style="767" customWidth="1"/>
    <col min="12294" max="12295" width="9.28515625" style="767" customWidth="1"/>
    <col min="12296" max="12299" width="10.140625" style="767" customWidth="1"/>
    <col min="12300" max="12300" width="6.7109375" style="767" customWidth="1"/>
    <col min="12301" max="12301" width="8.5703125" style="767" customWidth="1"/>
    <col min="12302" max="12302" width="0" style="767" hidden="1" customWidth="1"/>
    <col min="12303" max="12544" width="0" style="767" hidden="1"/>
    <col min="12545" max="12545" width="3.5703125" style="767" customWidth="1"/>
    <col min="12546" max="12546" width="27.28515625" style="767" customWidth="1"/>
    <col min="12547" max="12547" width="3.5703125" style="767" customWidth="1"/>
    <col min="12548" max="12548" width="9.28515625" style="767" customWidth="1"/>
    <col min="12549" max="12549" width="9.140625" style="767" customWidth="1"/>
    <col min="12550" max="12551" width="9.28515625" style="767" customWidth="1"/>
    <col min="12552" max="12555" width="10.140625" style="767" customWidth="1"/>
    <col min="12556" max="12556" width="6.7109375" style="767" customWidth="1"/>
    <col min="12557" max="12557" width="8.5703125" style="767" customWidth="1"/>
    <col min="12558" max="12558" width="0" style="767" hidden="1" customWidth="1"/>
    <col min="12559" max="12800" width="0" style="767" hidden="1"/>
    <col min="12801" max="12801" width="3.5703125" style="767" customWidth="1"/>
    <col min="12802" max="12802" width="27.28515625" style="767" customWidth="1"/>
    <col min="12803" max="12803" width="3.5703125" style="767" customWidth="1"/>
    <col min="12804" max="12804" width="9.28515625" style="767" customWidth="1"/>
    <col min="12805" max="12805" width="9.140625" style="767" customWidth="1"/>
    <col min="12806" max="12807" width="9.28515625" style="767" customWidth="1"/>
    <col min="12808" max="12811" width="10.140625" style="767" customWidth="1"/>
    <col min="12812" max="12812" width="6.7109375" style="767" customWidth="1"/>
    <col min="12813" max="12813" width="8.5703125" style="767" customWidth="1"/>
    <col min="12814" max="12814" width="0" style="767" hidden="1" customWidth="1"/>
    <col min="12815" max="13056" width="0" style="767" hidden="1"/>
    <col min="13057" max="13057" width="3.5703125" style="767" customWidth="1"/>
    <col min="13058" max="13058" width="27.28515625" style="767" customWidth="1"/>
    <col min="13059" max="13059" width="3.5703125" style="767" customWidth="1"/>
    <col min="13060" max="13060" width="9.28515625" style="767" customWidth="1"/>
    <col min="13061" max="13061" width="9.140625" style="767" customWidth="1"/>
    <col min="13062" max="13063" width="9.28515625" style="767" customWidth="1"/>
    <col min="13064" max="13067" width="10.140625" style="767" customWidth="1"/>
    <col min="13068" max="13068" width="6.7109375" style="767" customWidth="1"/>
    <col min="13069" max="13069" width="8.5703125" style="767" customWidth="1"/>
    <col min="13070" max="13070" width="0" style="767" hidden="1" customWidth="1"/>
    <col min="13071" max="13312" width="0" style="767" hidden="1"/>
    <col min="13313" max="13313" width="3.5703125" style="767" customWidth="1"/>
    <col min="13314" max="13314" width="27.28515625" style="767" customWidth="1"/>
    <col min="13315" max="13315" width="3.5703125" style="767" customWidth="1"/>
    <col min="13316" max="13316" width="9.28515625" style="767" customWidth="1"/>
    <col min="13317" max="13317" width="9.140625" style="767" customWidth="1"/>
    <col min="13318" max="13319" width="9.28515625" style="767" customWidth="1"/>
    <col min="13320" max="13323" width="10.140625" style="767" customWidth="1"/>
    <col min="13324" max="13324" width="6.7109375" style="767" customWidth="1"/>
    <col min="13325" max="13325" width="8.5703125" style="767" customWidth="1"/>
    <col min="13326" max="13326" width="0" style="767" hidden="1" customWidth="1"/>
    <col min="13327" max="13568" width="0" style="767" hidden="1"/>
    <col min="13569" max="13569" width="3.5703125" style="767" customWidth="1"/>
    <col min="13570" max="13570" width="27.28515625" style="767" customWidth="1"/>
    <col min="13571" max="13571" width="3.5703125" style="767" customWidth="1"/>
    <col min="13572" max="13572" width="9.28515625" style="767" customWidth="1"/>
    <col min="13573" max="13573" width="9.140625" style="767" customWidth="1"/>
    <col min="13574" max="13575" width="9.28515625" style="767" customWidth="1"/>
    <col min="13576" max="13579" width="10.140625" style="767" customWidth="1"/>
    <col min="13580" max="13580" width="6.7109375" style="767" customWidth="1"/>
    <col min="13581" max="13581" width="8.5703125" style="767" customWidth="1"/>
    <col min="13582" max="13582" width="0" style="767" hidden="1" customWidth="1"/>
    <col min="13583" max="13824" width="0" style="767" hidden="1"/>
    <col min="13825" max="13825" width="3.5703125" style="767" customWidth="1"/>
    <col min="13826" max="13826" width="27.28515625" style="767" customWidth="1"/>
    <col min="13827" max="13827" width="3.5703125" style="767" customWidth="1"/>
    <col min="13828" max="13828" width="9.28515625" style="767" customWidth="1"/>
    <col min="13829" max="13829" width="9.140625" style="767" customWidth="1"/>
    <col min="13830" max="13831" width="9.28515625" style="767" customWidth="1"/>
    <col min="13832" max="13835" width="10.140625" style="767" customWidth="1"/>
    <col min="13836" max="13836" width="6.7109375" style="767" customWidth="1"/>
    <col min="13837" max="13837" width="8.5703125" style="767" customWidth="1"/>
    <col min="13838" max="13838" width="0" style="767" hidden="1" customWidth="1"/>
    <col min="13839" max="14080" width="0" style="767" hidden="1"/>
    <col min="14081" max="14081" width="3.5703125" style="767" customWidth="1"/>
    <col min="14082" max="14082" width="27.28515625" style="767" customWidth="1"/>
    <col min="14083" max="14083" width="3.5703125" style="767" customWidth="1"/>
    <col min="14084" max="14084" width="9.28515625" style="767" customWidth="1"/>
    <col min="14085" max="14085" width="9.140625" style="767" customWidth="1"/>
    <col min="14086" max="14087" width="9.28515625" style="767" customWidth="1"/>
    <col min="14088" max="14091" width="10.140625" style="767" customWidth="1"/>
    <col min="14092" max="14092" width="6.7109375" style="767" customWidth="1"/>
    <col min="14093" max="14093" width="8.5703125" style="767" customWidth="1"/>
    <col min="14094" max="14094" width="0" style="767" hidden="1" customWidth="1"/>
    <col min="14095" max="14336" width="0" style="767" hidden="1"/>
    <col min="14337" max="14337" width="3.5703125" style="767" customWidth="1"/>
    <col min="14338" max="14338" width="27.28515625" style="767" customWidth="1"/>
    <col min="14339" max="14339" width="3.5703125" style="767" customWidth="1"/>
    <col min="14340" max="14340" width="9.28515625" style="767" customWidth="1"/>
    <col min="14341" max="14341" width="9.140625" style="767" customWidth="1"/>
    <col min="14342" max="14343" width="9.28515625" style="767" customWidth="1"/>
    <col min="14344" max="14347" width="10.140625" style="767" customWidth="1"/>
    <col min="14348" max="14348" width="6.7109375" style="767" customWidth="1"/>
    <col min="14349" max="14349" width="8.5703125" style="767" customWidth="1"/>
    <col min="14350" max="14350" width="0" style="767" hidden="1" customWidth="1"/>
    <col min="14351" max="14592" width="0" style="767" hidden="1"/>
    <col min="14593" max="14593" width="3.5703125" style="767" customWidth="1"/>
    <col min="14594" max="14594" width="27.28515625" style="767" customWidth="1"/>
    <col min="14595" max="14595" width="3.5703125" style="767" customWidth="1"/>
    <col min="14596" max="14596" width="9.28515625" style="767" customWidth="1"/>
    <col min="14597" max="14597" width="9.140625" style="767" customWidth="1"/>
    <col min="14598" max="14599" width="9.28515625" style="767" customWidth="1"/>
    <col min="14600" max="14603" width="10.140625" style="767" customWidth="1"/>
    <col min="14604" max="14604" width="6.7109375" style="767" customWidth="1"/>
    <col min="14605" max="14605" width="8.5703125" style="767" customWidth="1"/>
    <col min="14606" max="14606" width="0" style="767" hidden="1" customWidth="1"/>
    <col min="14607" max="14848" width="0" style="767" hidden="1"/>
    <col min="14849" max="14849" width="3.5703125" style="767" customWidth="1"/>
    <col min="14850" max="14850" width="27.28515625" style="767" customWidth="1"/>
    <col min="14851" max="14851" width="3.5703125" style="767" customWidth="1"/>
    <col min="14852" max="14852" width="9.28515625" style="767" customWidth="1"/>
    <col min="14853" max="14853" width="9.140625" style="767" customWidth="1"/>
    <col min="14854" max="14855" width="9.28515625" style="767" customWidth="1"/>
    <col min="14856" max="14859" width="10.140625" style="767" customWidth="1"/>
    <col min="14860" max="14860" width="6.7109375" style="767" customWidth="1"/>
    <col min="14861" max="14861" width="8.5703125" style="767" customWidth="1"/>
    <col min="14862" max="14862" width="0" style="767" hidden="1" customWidth="1"/>
    <col min="14863" max="15104" width="0" style="767" hidden="1"/>
    <col min="15105" max="15105" width="3.5703125" style="767" customWidth="1"/>
    <col min="15106" max="15106" width="27.28515625" style="767" customWidth="1"/>
    <col min="15107" max="15107" width="3.5703125" style="767" customWidth="1"/>
    <col min="15108" max="15108" width="9.28515625" style="767" customWidth="1"/>
    <col min="15109" max="15109" width="9.140625" style="767" customWidth="1"/>
    <col min="15110" max="15111" width="9.28515625" style="767" customWidth="1"/>
    <col min="15112" max="15115" width="10.140625" style="767" customWidth="1"/>
    <col min="15116" max="15116" width="6.7109375" style="767" customWidth="1"/>
    <col min="15117" max="15117" width="8.5703125" style="767" customWidth="1"/>
    <col min="15118" max="15118" width="0" style="767" hidden="1" customWidth="1"/>
    <col min="15119" max="15360" width="0" style="767" hidden="1"/>
    <col min="15361" max="15361" width="3.5703125" style="767" customWidth="1"/>
    <col min="15362" max="15362" width="27.28515625" style="767" customWidth="1"/>
    <col min="15363" max="15363" width="3.5703125" style="767" customWidth="1"/>
    <col min="15364" max="15364" width="9.28515625" style="767" customWidth="1"/>
    <col min="15365" max="15365" width="9.140625" style="767" customWidth="1"/>
    <col min="15366" max="15367" width="9.28515625" style="767" customWidth="1"/>
    <col min="15368" max="15371" width="10.140625" style="767" customWidth="1"/>
    <col min="15372" max="15372" width="6.7109375" style="767" customWidth="1"/>
    <col min="15373" max="15373" width="8.5703125" style="767" customWidth="1"/>
    <col min="15374" max="15374" width="0" style="767" hidden="1" customWidth="1"/>
    <col min="15375" max="15616" width="0" style="767" hidden="1"/>
    <col min="15617" max="15617" width="3.5703125" style="767" customWidth="1"/>
    <col min="15618" max="15618" width="27.28515625" style="767" customWidth="1"/>
    <col min="15619" max="15619" width="3.5703125" style="767" customWidth="1"/>
    <col min="15620" max="15620" width="9.28515625" style="767" customWidth="1"/>
    <col min="15621" max="15621" width="9.140625" style="767" customWidth="1"/>
    <col min="15622" max="15623" width="9.28515625" style="767" customWidth="1"/>
    <col min="15624" max="15627" width="10.140625" style="767" customWidth="1"/>
    <col min="15628" max="15628" width="6.7109375" style="767" customWidth="1"/>
    <col min="15629" max="15629" width="8.5703125" style="767" customWidth="1"/>
    <col min="15630" max="15630" width="0" style="767" hidden="1" customWidth="1"/>
    <col min="15631" max="15872" width="0" style="767" hidden="1"/>
    <col min="15873" max="15873" width="3.5703125" style="767" customWidth="1"/>
    <col min="15874" max="15874" width="27.28515625" style="767" customWidth="1"/>
    <col min="15875" max="15875" width="3.5703125" style="767" customWidth="1"/>
    <col min="15876" max="15876" width="9.28515625" style="767" customWidth="1"/>
    <col min="15877" max="15877" width="9.140625" style="767" customWidth="1"/>
    <col min="15878" max="15879" width="9.28515625" style="767" customWidth="1"/>
    <col min="15880" max="15883" width="10.140625" style="767" customWidth="1"/>
    <col min="15884" max="15884" width="6.7109375" style="767" customWidth="1"/>
    <col min="15885" max="15885" width="8.5703125" style="767" customWidth="1"/>
    <col min="15886" max="15886" width="0" style="767" hidden="1" customWidth="1"/>
    <col min="15887" max="16128" width="0" style="767" hidden="1"/>
    <col min="16129" max="16129" width="3.5703125" style="767" customWidth="1"/>
    <col min="16130" max="16130" width="27.28515625" style="767" customWidth="1"/>
    <col min="16131" max="16131" width="3.5703125" style="767" customWidth="1"/>
    <col min="16132" max="16132" width="9.28515625" style="767" customWidth="1"/>
    <col min="16133" max="16133" width="9.140625" style="767" customWidth="1"/>
    <col min="16134" max="16135" width="9.28515625" style="767" customWidth="1"/>
    <col min="16136" max="16139" width="10.140625" style="767" customWidth="1"/>
    <col min="16140" max="16140" width="6.7109375" style="767" customWidth="1"/>
    <col min="16141" max="16141" width="8.5703125" style="767" customWidth="1"/>
    <col min="16142" max="16142" width="0" style="767" hidden="1" customWidth="1"/>
    <col min="16143" max="16384" width="0" style="767" hidden="1"/>
  </cols>
  <sheetData>
    <row r="1" spans="1:13">
      <c r="A1" s="766" t="s">
        <v>555</v>
      </c>
    </row>
    <row r="2" spans="1:13">
      <c r="B2" s="768" t="s">
        <v>10558</v>
      </c>
      <c r="C2" s="769"/>
      <c r="D2" s="769"/>
      <c r="E2" s="769"/>
      <c r="F2" s="769"/>
      <c r="G2" s="769"/>
      <c r="H2" s="769"/>
      <c r="I2" s="769"/>
      <c r="J2" s="770" t="s">
        <v>10559</v>
      </c>
      <c r="K2" s="771" t="s">
        <v>10560</v>
      </c>
      <c r="L2" s="772" t="s">
        <v>10561</v>
      </c>
      <c r="M2" s="773"/>
    </row>
    <row r="3" spans="1:13"/>
    <row r="4" spans="1:13">
      <c r="B4" s="774" t="str">
        <f>"Hojas interactivas: " &amp;CA.NumHojasIntValidas</f>
        <v>Hojas interactivas: 2</v>
      </c>
      <c r="C4" s="775">
        <v>2</v>
      </c>
      <c r="D4" s="776" t="s">
        <v>10562</v>
      </c>
      <c r="E4" s="777"/>
      <c r="F4" s="777"/>
      <c r="G4" s="777"/>
      <c r="H4" s="777"/>
      <c r="I4" s="777"/>
      <c r="J4" s="777"/>
      <c r="K4" s="778"/>
      <c r="M4" s="766"/>
    </row>
    <row r="5" spans="1:13" ht="17.25" customHeight="1">
      <c r="A5" s="766"/>
      <c r="B5" s="779" t="s">
        <v>3487</v>
      </c>
      <c r="C5" s="701"/>
      <c r="D5" s="828"/>
      <c r="E5" s="829"/>
      <c r="F5" s="829"/>
      <c r="G5" s="829"/>
      <c r="H5" s="829"/>
      <c r="I5" s="829"/>
      <c r="J5" s="829"/>
      <c r="K5" s="830"/>
      <c r="M5" s="766"/>
    </row>
    <row r="6" spans="1:13" ht="17.25" customHeight="1">
      <c r="B6" s="779" t="s">
        <v>3486</v>
      </c>
      <c r="C6" s="701"/>
      <c r="M6" s="766"/>
    </row>
    <row r="7" spans="1:13" ht="17.25" customHeight="1">
      <c r="B7" s="779"/>
      <c r="C7" s="701"/>
      <c r="D7" s="780"/>
      <c r="E7" s="780"/>
      <c r="F7" s="781" t="s">
        <v>10563</v>
      </c>
      <c r="G7" s="782"/>
      <c r="H7" s="782"/>
      <c r="I7" s="782"/>
      <c r="J7" s="782"/>
      <c r="K7" s="782"/>
    </row>
    <row r="8" spans="1:13" ht="17.25" customHeight="1">
      <c r="B8" s="779"/>
      <c r="D8" s="780"/>
      <c r="E8" s="780"/>
      <c r="F8" s="780"/>
      <c r="G8" s="782"/>
      <c r="H8" s="782"/>
      <c r="I8" s="782"/>
      <c r="J8" s="782"/>
      <c r="K8" s="782"/>
    </row>
    <row r="9" spans="1:13" ht="17.25" customHeight="1">
      <c r="B9" s="779"/>
    </row>
    <row r="10" spans="1:13" ht="17.25" customHeight="1">
      <c r="B10" s="779"/>
      <c r="D10" s="783"/>
      <c r="E10" s="783"/>
      <c r="F10" s="784" t="s">
        <v>10564</v>
      </c>
      <c r="G10" s="785"/>
      <c r="H10" s="785"/>
      <c r="I10" s="785"/>
      <c r="J10" s="785"/>
      <c r="K10" s="785"/>
    </row>
    <row r="11" spans="1:13" ht="17.25" customHeight="1">
      <c r="B11" s="786"/>
      <c r="D11" s="783"/>
      <c r="E11" s="783"/>
      <c r="F11" s="783"/>
      <c r="G11" s="785"/>
      <c r="H11" s="785"/>
      <c r="I11" s="785"/>
      <c r="J11" s="787" t="s">
        <v>10565</v>
      </c>
      <c r="K11" s="788" t="s">
        <v>10566</v>
      </c>
      <c r="L11" s="701"/>
    </row>
    <row r="12" spans="1:13" ht="17.25" customHeight="1">
      <c r="B12" s="786"/>
    </row>
    <row r="13" spans="1:13" ht="17.25" customHeight="1">
      <c r="B13" s="786"/>
      <c r="D13" s="789"/>
      <c r="E13" s="789"/>
      <c r="F13" s="790" t="s">
        <v>10567</v>
      </c>
      <c r="G13" s="791"/>
      <c r="H13" s="791"/>
      <c r="I13" s="791"/>
      <c r="J13" s="791"/>
      <c r="K13" s="791"/>
    </row>
    <row r="14" spans="1:13" ht="17.25" customHeight="1">
      <c r="B14" s="786"/>
      <c r="D14" s="789"/>
      <c r="E14" s="789"/>
      <c r="F14" s="789"/>
      <c r="G14" s="791"/>
      <c r="H14" s="791"/>
      <c r="I14" s="791"/>
      <c r="J14" s="791"/>
      <c r="K14" s="791"/>
    </row>
    <row r="15" spans="1:13" ht="17.25" customHeight="1">
      <c r="B15" s="786"/>
      <c r="M15" s="766"/>
    </row>
    <row r="16" spans="1:13" ht="17.25" customHeight="1">
      <c r="B16" s="786"/>
      <c r="D16" s="792" t="s">
        <v>10568</v>
      </c>
      <c r="E16" s="793"/>
      <c r="F16" s="793"/>
      <c r="G16" s="793"/>
      <c r="H16" s="793"/>
      <c r="I16" s="793"/>
      <c r="J16" s="793"/>
      <c r="K16" s="793"/>
    </row>
    <row r="17" spans="2:11" ht="17.25" customHeight="1">
      <c r="B17" s="786"/>
      <c r="D17" s="794" t="b">
        <v>1</v>
      </c>
      <c r="E17" s="794" t="s">
        <v>10522</v>
      </c>
      <c r="F17" s="794"/>
      <c r="G17" s="794" t="b">
        <v>0</v>
      </c>
      <c r="H17" s="794" t="s">
        <v>10523</v>
      </c>
      <c r="I17" s="794"/>
    </row>
    <row r="18" spans="2:11" ht="17.25" customHeight="1">
      <c r="B18" s="786"/>
      <c r="D18" s="794" t="b">
        <v>0</v>
      </c>
      <c r="E18" s="794" t="s">
        <v>10524</v>
      </c>
      <c r="F18" s="794"/>
      <c r="J18" s="795"/>
      <c r="K18" s="795"/>
    </row>
    <row r="19" spans="2:11" ht="17.25" customHeight="1">
      <c r="B19" s="786"/>
      <c r="D19" s="794" t="b">
        <v>1</v>
      </c>
      <c r="E19" s="794" t="s">
        <v>10525</v>
      </c>
      <c r="F19" s="794"/>
      <c r="G19" s="796" t="s">
        <v>555</v>
      </c>
      <c r="H19" s="797"/>
      <c r="I19" s="798" t="s">
        <v>10569</v>
      </c>
      <c r="J19" s="799"/>
      <c r="K19" s="800"/>
    </row>
    <row r="20" spans="2:11" ht="17.25" customHeight="1">
      <c r="B20" s="786"/>
      <c r="D20" s="794" t="b">
        <v>0</v>
      </c>
      <c r="E20" s="794" t="s">
        <v>10526</v>
      </c>
      <c r="F20" s="794"/>
      <c r="G20" s="831" t="s">
        <v>10527</v>
      </c>
      <c r="H20" s="832"/>
      <c r="I20" s="832"/>
      <c r="J20" s="832"/>
      <c r="K20" s="833"/>
    </row>
    <row r="21" spans="2:11" ht="17.25" customHeight="1">
      <c r="B21" s="786"/>
      <c r="D21" s="794" t="b">
        <v>0</v>
      </c>
      <c r="E21" s="794" t="s">
        <v>10570</v>
      </c>
      <c r="F21" s="794"/>
      <c r="G21" s="701"/>
      <c r="H21" s="701"/>
      <c r="I21" s="701"/>
      <c r="J21" s="701"/>
      <c r="K21" s="701"/>
    </row>
    <row r="22" spans="2:11" ht="17.25" customHeight="1">
      <c r="B22" s="786"/>
      <c r="D22" s="801" t="s">
        <v>10571</v>
      </c>
      <c r="E22" s="802"/>
      <c r="F22" s="802"/>
      <c r="G22" s="834" t="s">
        <v>10572</v>
      </c>
      <c r="H22" s="835"/>
      <c r="I22" s="835"/>
      <c r="J22" s="835"/>
      <c r="K22" s="836"/>
    </row>
    <row r="23" spans="2:11"/>
    <row r="24" spans="2:11">
      <c r="B24" s="803"/>
      <c r="C24" s="701"/>
      <c r="D24" s="701"/>
      <c r="E24" s="701"/>
      <c r="F24" s="701"/>
      <c r="G24" s="701"/>
      <c r="H24" s="701"/>
      <c r="I24" s="701"/>
      <c r="J24" s="701"/>
      <c r="K24" s="701"/>
    </row>
    <row r="25" spans="2:11">
      <c r="B25" s="804"/>
      <c r="C25" s="701"/>
      <c r="D25" s="701"/>
      <c r="E25" s="701"/>
      <c r="F25" s="701"/>
      <c r="G25" s="701"/>
      <c r="H25" s="701"/>
      <c r="I25" s="701"/>
      <c r="J25" s="701"/>
      <c r="K25" s="701"/>
    </row>
    <row r="26" spans="2:11">
      <c r="B26" s="805" t="s">
        <v>10573</v>
      </c>
    </row>
    <row r="27" spans="2:11"/>
    <row r="28" spans="2:11">
      <c r="B28" s="768" t="s">
        <v>10574</v>
      </c>
      <c r="C28" s="769"/>
      <c r="D28" s="769"/>
      <c r="E28" s="769"/>
      <c r="F28" s="769"/>
      <c r="G28" s="769"/>
      <c r="H28" s="769"/>
      <c r="I28" s="769"/>
      <c r="J28" s="769"/>
      <c r="K28" s="769"/>
    </row>
    <row r="29" spans="2:11"/>
    <row r="30" spans="2:11" ht="19.5" customHeight="1">
      <c r="B30" s="806"/>
      <c r="C30" s="780"/>
      <c r="D30" s="807" t="s">
        <v>10575</v>
      </c>
      <c r="E30" s="780"/>
      <c r="F30" s="780"/>
      <c r="G30" s="780"/>
      <c r="H30" s="780"/>
      <c r="I30" s="780"/>
      <c r="J30" s="780"/>
      <c r="K30" s="780"/>
    </row>
    <row r="31" spans="2:11"/>
    <row r="32" spans="2:11" ht="19.5" customHeight="1">
      <c r="B32" s="789"/>
      <c r="C32" s="789"/>
      <c r="D32" s="808" t="s">
        <v>10576</v>
      </c>
      <c r="E32" s="789"/>
      <c r="F32" s="789"/>
      <c r="G32" s="789"/>
      <c r="H32" s="789"/>
      <c r="I32" s="789"/>
      <c r="J32" s="789"/>
      <c r="K32" s="789"/>
    </row>
    <row r="33" spans="5:6">
      <c r="E33" s="701"/>
      <c r="F33" s="701"/>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workbookViewId="0"/>
    <sheetView workbookViewId="1"/>
  </sheetViews>
  <sheetFormatPr defaultColWidth="9.140625" defaultRowHeight="15"/>
  <cols>
    <col min="1" max="1" width="2" style="701" bestFit="1" customWidth="1"/>
    <col min="2" max="2" width="51.5703125" style="701" customWidth="1"/>
    <col min="3" max="3" width="51.5703125" style="701" bestFit="1" customWidth="1"/>
    <col min="4" max="4" width="29" style="701" customWidth="1"/>
    <col min="5" max="5" width="92.42578125" style="701" bestFit="1" customWidth="1"/>
    <col min="6" max="256" width="9.140625" style="701"/>
    <col min="257" max="257" width="2" style="701" bestFit="1" customWidth="1"/>
    <col min="258" max="258" width="51.5703125" style="701" customWidth="1"/>
    <col min="259" max="259" width="51.5703125" style="701" bestFit="1" customWidth="1"/>
    <col min="260" max="260" width="29" style="701" customWidth="1"/>
    <col min="261" max="261" width="92.42578125" style="701" bestFit="1" customWidth="1"/>
    <col min="262" max="512" width="9.140625" style="701"/>
    <col min="513" max="513" width="2" style="701" bestFit="1" customWidth="1"/>
    <col min="514" max="514" width="51.5703125" style="701" customWidth="1"/>
    <col min="515" max="515" width="51.5703125" style="701" bestFit="1" customWidth="1"/>
    <col min="516" max="516" width="29" style="701" customWidth="1"/>
    <col min="517" max="517" width="92.42578125" style="701" bestFit="1" customWidth="1"/>
    <col min="518" max="768" width="9.140625" style="701"/>
    <col min="769" max="769" width="2" style="701" bestFit="1" customWidth="1"/>
    <col min="770" max="770" width="51.5703125" style="701" customWidth="1"/>
    <col min="771" max="771" width="51.5703125" style="701" bestFit="1" customWidth="1"/>
    <col min="772" max="772" width="29" style="701" customWidth="1"/>
    <col min="773" max="773" width="92.42578125" style="701" bestFit="1" customWidth="1"/>
    <col min="774" max="1024" width="9.140625" style="701"/>
    <col min="1025" max="1025" width="2" style="701" bestFit="1" customWidth="1"/>
    <col min="1026" max="1026" width="51.5703125" style="701" customWidth="1"/>
    <col min="1027" max="1027" width="51.5703125" style="701" bestFit="1" customWidth="1"/>
    <col min="1028" max="1028" width="29" style="701" customWidth="1"/>
    <col min="1029" max="1029" width="92.42578125" style="701" bestFit="1" customWidth="1"/>
    <col min="1030" max="1280" width="9.140625" style="701"/>
    <col min="1281" max="1281" width="2" style="701" bestFit="1" customWidth="1"/>
    <col min="1282" max="1282" width="51.5703125" style="701" customWidth="1"/>
    <col min="1283" max="1283" width="51.5703125" style="701" bestFit="1" customWidth="1"/>
    <col min="1284" max="1284" width="29" style="701" customWidth="1"/>
    <col min="1285" max="1285" width="92.42578125" style="701" bestFit="1" customWidth="1"/>
    <col min="1286" max="1536" width="9.140625" style="701"/>
    <col min="1537" max="1537" width="2" style="701" bestFit="1" customWidth="1"/>
    <col min="1538" max="1538" width="51.5703125" style="701" customWidth="1"/>
    <col min="1539" max="1539" width="51.5703125" style="701" bestFit="1" customWidth="1"/>
    <col min="1540" max="1540" width="29" style="701" customWidth="1"/>
    <col min="1541" max="1541" width="92.42578125" style="701" bestFit="1" customWidth="1"/>
    <col min="1542" max="1792" width="9.140625" style="701"/>
    <col min="1793" max="1793" width="2" style="701" bestFit="1" customWidth="1"/>
    <col min="1794" max="1794" width="51.5703125" style="701" customWidth="1"/>
    <col min="1795" max="1795" width="51.5703125" style="701" bestFit="1" customWidth="1"/>
    <col min="1796" max="1796" width="29" style="701" customWidth="1"/>
    <col min="1797" max="1797" width="92.42578125" style="701" bestFit="1" customWidth="1"/>
    <col min="1798" max="2048" width="9.140625" style="701"/>
    <col min="2049" max="2049" width="2" style="701" bestFit="1" customWidth="1"/>
    <col min="2050" max="2050" width="51.5703125" style="701" customWidth="1"/>
    <col min="2051" max="2051" width="51.5703125" style="701" bestFit="1" customWidth="1"/>
    <col min="2052" max="2052" width="29" style="701" customWidth="1"/>
    <col min="2053" max="2053" width="92.42578125" style="701" bestFit="1" customWidth="1"/>
    <col min="2054" max="2304" width="9.140625" style="701"/>
    <col min="2305" max="2305" width="2" style="701" bestFit="1" customWidth="1"/>
    <col min="2306" max="2306" width="51.5703125" style="701" customWidth="1"/>
    <col min="2307" max="2307" width="51.5703125" style="701" bestFit="1" customWidth="1"/>
    <col min="2308" max="2308" width="29" style="701" customWidth="1"/>
    <col min="2309" max="2309" width="92.42578125" style="701" bestFit="1" customWidth="1"/>
    <col min="2310" max="2560" width="9.140625" style="701"/>
    <col min="2561" max="2561" width="2" style="701" bestFit="1" customWidth="1"/>
    <col min="2562" max="2562" width="51.5703125" style="701" customWidth="1"/>
    <col min="2563" max="2563" width="51.5703125" style="701" bestFit="1" customWidth="1"/>
    <col min="2564" max="2564" width="29" style="701" customWidth="1"/>
    <col min="2565" max="2565" width="92.42578125" style="701" bestFit="1" customWidth="1"/>
    <col min="2566" max="2816" width="9.140625" style="701"/>
    <col min="2817" max="2817" width="2" style="701" bestFit="1" customWidth="1"/>
    <col min="2818" max="2818" width="51.5703125" style="701" customWidth="1"/>
    <col min="2819" max="2819" width="51.5703125" style="701" bestFit="1" customWidth="1"/>
    <col min="2820" max="2820" width="29" style="701" customWidth="1"/>
    <col min="2821" max="2821" width="92.42578125" style="701" bestFit="1" customWidth="1"/>
    <col min="2822" max="3072" width="9.140625" style="701"/>
    <col min="3073" max="3073" width="2" style="701" bestFit="1" customWidth="1"/>
    <col min="3074" max="3074" width="51.5703125" style="701" customWidth="1"/>
    <col min="3075" max="3075" width="51.5703125" style="701" bestFit="1" customWidth="1"/>
    <col min="3076" max="3076" width="29" style="701" customWidth="1"/>
    <col min="3077" max="3077" width="92.42578125" style="701" bestFit="1" customWidth="1"/>
    <col min="3078" max="3328" width="9.140625" style="701"/>
    <col min="3329" max="3329" width="2" style="701" bestFit="1" customWidth="1"/>
    <col min="3330" max="3330" width="51.5703125" style="701" customWidth="1"/>
    <col min="3331" max="3331" width="51.5703125" style="701" bestFit="1" customWidth="1"/>
    <col min="3332" max="3332" width="29" style="701" customWidth="1"/>
    <col min="3333" max="3333" width="92.42578125" style="701" bestFit="1" customWidth="1"/>
    <col min="3334" max="3584" width="9.140625" style="701"/>
    <col min="3585" max="3585" width="2" style="701" bestFit="1" customWidth="1"/>
    <col min="3586" max="3586" width="51.5703125" style="701" customWidth="1"/>
    <col min="3587" max="3587" width="51.5703125" style="701" bestFit="1" customWidth="1"/>
    <col min="3588" max="3588" width="29" style="701" customWidth="1"/>
    <col min="3589" max="3589" width="92.42578125" style="701" bestFit="1" customWidth="1"/>
    <col min="3590" max="3840" width="9.140625" style="701"/>
    <col min="3841" max="3841" width="2" style="701" bestFit="1" customWidth="1"/>
    <col min="3842" max="3842" width="51.5703125" style="701" customWidth="1"/>
    <col min="3843" max="3843" width="51.5703125" style="701" bestFit="1" customWidth="1"/>
    <col min="3844" max="3844" width="29" style="701" customWidth="1"/>
    <col min="3845" max="3845" width="92.42578125" style="701" bestFit="1" customWidth="1"/>
    <col min="3846" max="4096" width="9.140625" style="701"/>
    <col min="4097" max="4097" width="2" style="701" bestFit="1" customWidth="1"/>
    <col min="4098" max="4098" width="51.5703125" style="701" customWidth="1"/>
    <col min="4099" max="4099" width="51.5703125" style="701" bestFit="1" customWidth="1"/>
    <col min="4100" max="4100" width="29" style="701" customWidth="1"/>
    <col min="4101" max="4101" width="92.42578125" style="701" bestFit="1" customWidth="1"/>
    <col min="4102" max="4352" width="9.140625" style="701"/>
    <col min="4353" max="4353" width="2" style="701" bestFit="1" customWidth="1"/>
    <col min="4354" max="4354" width="51.5703125" style="701" customWidth="1"/>
    <col min="4355" max="4355" width="51.5703125" style="701" bestFit="1" customWidth="1"/>
    <col min="4356" max="4356" width="29" style="701" customWidth="1"/>
    <col min="4357" max="4357" width="92.42578125" style="701" bestFit="1" customWidth="1"/>
    <col min="4358" max="4608" width="9.140625" style="701"/>
    <col min="4609" max="4609" width="2" style="701" bestFit="1" customWidth="1"/>
    <col min="4610" max="4610" width="51.5703125" style="701" customWidth="1"/>
    <col min="4611" max="4611" width="51.5703125" style="701" bestFit="1" customWidth="1"/>
    <col min="4612" max="4612" width="29" style="701" customWidth="1"/>
    <col min="4613" max="4613" width="92.42578125" style="701" bestFit="1" customWidth="1"/>
    <col min="4614" max="4864" width="9.140625" style="701"/>
    <col min="4865" max="4865" width="2" style="701" bestFit="1" customWidth="1"/>
    <col min="4866" max="4866" width="51.5703125" style="701" customWidth="1"/>
    <col min="4867" max="4867" width="51.5703125" style="701" bestFit="1" customWidth="1"/>
    <col min="4868" max="4868" width="29" style="701" customWidth="1"/>
    <col min="4869" max="4869" width="92.42578125" style="701" bestFit="1" customWidth="1"/>
    <col min="4870" max="5120" width="9.140625" style="701"/>
    <col min="5121" max="5121" width="2" style="701" bestFit="1" customWidth="1"/>
    <col min="5122" max="5122" width="51.5703125" style="701" customWidth="1"/>
    <col min="5123" max="5123" width="51.5703125" style="701" bestFit="1" customWidth="1"/>
    <col min="5124" max="5124" width="29" style="701" customWidth="1"/>
    <col min="5125" max="5125" width="92.42578125" style="701" bestFit="1" customWidth="1"/>
    <col min="5126" max="5376" width="9.140625" style="701"/>
    <col min="5377" max="5377" width="2" style="701" bestFit="1" customWidth="1"/>
    <col min="5378" max="5378" width="51.5703125" style="701" customWidth="1"/>
    <col min="5379" max="5379" width="51.5703125" style="701" bestFit="1" customWidth="1"/>
    <col min="5380" max="5380" width="29" style="701" customWidth="1"/>
    <col min="5381" max="5381" width="92.42578125" style="701" bestFit="1" customWidth="1"/>
    <col min="5382" max="5632" width="9.140625" style="701"/>
    <col min="5633" max="5633" width="2" style="701" bestFit="1" customWidth="1"/>
    <col min="5634" max="5634" width="51.5703125" style="701" customWidth="1"/>
    <col min="5635" max="5635" width="51.5703125" style="701" bestFit="1" customWidth="1"/>
    <col min="5636" max="5636" width="29" style="701" customWidth="1"/>
    <col min="5637" max="5637" width="92.42578125" style="701" bestFit="1" customWidth="1"/>
    <col min="5638" max="5888" width="9.140625" style="701"/>
    <col min="5889" max="5889" width="2" style="701" bestFit="1" customWidth="1"/>
    <col min="5890" max="5890" width="51.5703125" style="701" customWidth="1"/>
    <col min="5891" max="5891" width="51.5703125" style="701" bestFit="1" customWidth="1"/>
    <col min="5892" max="5892" width="29" style="701" customWidth="1"/>
    <col min="5893" max="5893" width="92.42578125" style="701" bestFit="1" customWidth="1"/>
    <col min="5894" max="6144" width="9.140625" style="701"/>
    <col min="6145" max="6145" width="2" style="701" bestFit="1" customWidth="1"/>
    <col min="6146" max="6146" width="51.5703125" style="701" customWidth="1"/>
    <col min="6147" max="6147" width="51.5703125" style="701" bestFit="1" customWidth="1"/>
    <col min="6148" max="6148" width="29" style="701" customWidth="1"/>
    <col min="6149" max="6149" width="92.42578125" style="701" bestFit="1" customWidth="1"/>
    <col min="6150" max="6400" width="9.140625" style="701"/>
    <col min="6401" max="6401" width="2" style="701" bestFit="1" customWidth="1"/>
    <col min="6402" max="6402" width="51.5703125" style="701" customWidth="1"/>
    <col min="6403" max="6403" width="51.5703125" style="701" bestFit="1" customWidth="1"/>
    <col min="6404" max="6404" width="29" style="701" customWidth="1"/>
    <col min="6405" max="6405" width="92.42578125" style="701" bestFit="1" customWidth="1"/>
    <col min="6406" max="6656" width="9.140625" style="701"/>
    <col min="6657" max="6657" width="2" style="701" bestFit="1" customWidth="1"/>
    <col min="6658" max="6658" width="51.5703125" style="701" customWidth="1"/>
    <col min="6659" max="6659" width="51.5703125" style="701" bestFit="1" customWidth="1"/>
    <col min="6660" max="6660" width="29" style="701" customWidth="1"/>
    <col min="6661" max="6661" width="92.42578125" style="701" bestFit="1" customWidth="1"/>
    <col min="6662" max="6912" width="9.140625" style="701"/>
    <col min="6913" max="6913" width="2" style="701" bestFit="1" customWidth="1"/>
    <col min="6914" max="6914" width="51.5703125" style="701" customWidth="1"/>
    <col min="6915" max="6915" width="51.5703125" style="701" bestFit="1" customWidth="1"/>
    <col min="6916" max="6916" width="29" style="701" customWidth="1"/>
    <col min="6917" max="6917" width="92.42578125" style="701" bestFit="1" customWidth="1"/>
    <col min="6918" max="7168" width="9.140625" style="701"/>
    <col min="7169" max="7169" width="2" style="701" bestFit="1" customWidth="1"/>
    <col min="7170" max="7170" width="51.5703125" style="701" customWidth="1"/>
    <col min="7171" max="7171" width="51.5703125" style="701" bestFit="1" customWidth="1"/>
    <col min="7172" max="7172" width="29" style="701" customWidth="1"/>
    <col min="7173" max="7173" width="92.42578125" style="701" bestFit="1" customWidth="1"/>
    <col min="7174" max="7424" width="9.140625" style="701"/>
    <col min="7425" max="7425" width="2" style="701" bestFit="1" customWidth="1"/>
    <col min="7426" max="7426" width="51.5703125" style="701" customWidth="1"/>
    <col min="7427" max="7427" width="51.5703125" style="701" bestFit="1" customWidth="1"/>
    <col min="7428" max="7428" width="29" style="701" customWidth="1"/>
    <col min="7429" max="7429" width="92.42578125" style="701" bestFit="1" customWidth="1"/>
    <col min="7430" max="7680" width="9.140625" style="701"/>
    <col min="7681" max="7681" width="2" style="701" bestFit="1" customWidth="1"/>
    <col min="7682" max="7682" width="51.5703125" style="701" customWidth="1"/>
    <col min="7683" max="7683" width="51.5703125" style="701" bestFit="1" customWidth="1"/>
    <col min="7684" max="7684" width="29" style="701" customWidth="1"/>
    <col min="7685" max="7685" width="92.42578125" style="701" bestFit="1" customWidth="1"/>
    <col min="7686" max="7936" width="9.140625" style="701"/>
    <col min="7937" max="7937" width="2" style="701" bestFit="1" customWidth="1"/>
    <col min="7938" max="7938" width="51.5703125" style="701" customWidth="1"/>
    <col min="7939" max="7939" width="51.5703125" style="701" bestFit="1" customWidth="1"/>
    <col min="7940" max="7940" width="29" style="701" customWidth="1"/>
    <col min="7941" max="7941" width="92.42578125" style="701" bestFit="1" customWidth="1"/>
    <col min="7942" max="8192" width="9.140625" style="701"/>
    <col min="8193" max="8193" width="2" style="701" bestFit="1" customWidth="1"/>
    <col min="8194" max="8194" width="51.5703125" style="701" customWidth="1"/>
    <col min="8195" max="8195" width="51.5703125" style="701" bestFit="1" customWidth="1"/>
    <col min="8196" max="8196" width="29" style="701" customWidth="1"/>
    <col min="8197" max="8197" width="92.42578125" style="701" bestFit="1" customWidth="1"/>
    <col min="8198" max="8448" width="9.140625" style="701"/>
    <col min="8449" max="8449" width="2" style="701" bestFit="1" customWidth="1"/>
    <col min="8450" max="8450" width="51.5703125" style="701" customWidth="1"/>
    <col min="8451" max="8451" width="51.5703125" style="701" bestFit="1" customWidth="1"/>
    <col min="8452" max="8452" width="29" style="701" customWidth="1"/>
    <col min="8453" max="8453" width="92.42578125" style="701" bestFit="1" customWidth="1"/>
    <col min="8454" max="8704" width="9.140625" style="701"/>
    <col min="8705" max="8705" width="2" style="701" bestFit="1" customWidth="1"/>
    <col min="8706" max="8706" width="51.5703125" style="701" customWidth="1"/>
    <col min="8707" max="8707" width="51.5703125" style="701" bestFit="1" customWidth="1"/>
    <col min="8708" max="8708" width="29" style="701" customWidth="1"/>
    <col min="8709" max="8709" width="92.42578125" style="701" bestFit="1" customWidth="1"/>
    <col min="8710" max="8960" width="9.140625" style="701"/>
    <col min="8961" max="8961" width="2" style="701" bestFit="1" customWidth="1"/>
    <col min="8962" max="8962" width="51.5703125" style="701" customWidth="1"/>
    <col min="8963" max="8963" width="51.5703125" style="701" bestFit="1" customWidth="1"/>
    <col min="8964" max="8964" width="29" style="701" customWidth="1"/>
    <col min="8965" max="8965" width="92.42578125" style="701" bestFit="1" customWidth="1"/>
    <col min="8966" max="9216" width="9.140625" style="701"/>
    <col min="9217" max="9217" width="2" style="701" bestFit="1" customWidth="1"/>
    <col min="9218" max="9218" width="51.5703125" style="701" customWidth="1"/>
    <col min="9219" max="9219" width="51.5703125" style="701" bestFit="1" customWidth="1"/>
    <col min="9220" max="9220" width="29" style="701" customWidth="1"/>
    <col min="9221" max="9221" width="92.42578125" style="701" bestFit="1" customWidth="1"/>
    <col min="9222" max="9472" width="9.140625" style="701"/>
    <col min="9473" max="9473" width="2" style="701" bestFit="1" customWidth="1"/>
    <col min="9474" max="9474" width="51.5703125" style="701" customWidth="1"/>
    <col min="9475" max="9475" width="51.5703125" style="701" bestFit="1" customWidth="1"/>
    <col min="9476" max="9476" width="29" style="701" customWidth="1"/>
    <col min="9477" max="9477" width="92.42578125" style="701" bestFit="1" customWidth="1"/>
    <col min="9478" max="9728" width="9.140625" style="701"/>
    <col min="9729" max="9729" width="2" style="701" bestFit="1" customWidth="1"/>
    <col min="9730" max="9730" width="51.5703125" style="701" customWidth="1"/>
    <col min="9731" max="9731" width="51.5703125" style="701" bestFit="1" customWidth="1"/>
    <col min="9732" max="9732" width="29" style="701" customWidth="1"/>
    <col min="9733" max="9733" width="92.42578125" style="701" bestFit="1" customWidth="1"/>
    <col min="9734" max="9984" width="9.140625" style="701"/>
    <col min="9985" max="9985" width="2" style="701" bestFit="1" customWidth="1"/>
    <col min="9986" max="9986" width="51.5703125" style="701" customWidth="1"/>
    <col min="9987" max="9987" width="51.5703125" style="701" bestFit="1" customWidth="1"/>
    <col min="9988" max="9988" width="29" style="701" customWidth="1"/>
    <col min="9989" max="9989" width="92.42578125" style="701" bestFit="1" customWidth="1"/>
    <col min="9990" max="10240" width="9.140625" style="701"/>
    <col min="10241" max="10241" width="2" style="701" bestFit="1" customWidth="1"/>
    <col min="10242" max="10242" width="51.5703125" style="701" customWidth="1"/>
    <col min="10243" max="10243" width="51.5703125" style="701" bestFit="1" customWidth="1"/>
    <col min="10244" max="10244" width="29" style="701" customWidth="1"/>
    <col min="10245" max="10245" width="92.42578125" style="701" bestFit="1" customWidth="1"/>
    <col min="10246" max="10496" width="9.140625" style="701"/>
    <col min="10497" max="10497" width="2" style="701" bestFit="1" customWidth="1"/>
    <col min="10498" max="10498" width="51.5703125" style="701" customWidth="1"/>
    <col min="10499" max="10499" width="51.5703125" style="701" bestFit="1" customWidth="1"/>
    <col min="10500" max="10500" width="29" style="701" customWidth="1"/>
    <col min="10501" max="10501" width="92.42578125" style="701" bestFit="1" customWidth="1"/>
    <col min="10502" max="10752" width="9.140625" style="701"/>
    <col min="10753" max="10753" width="2" style="701" bestFit="1" customWidth="1"/>
    <col min="10754" max="10754" width="51.5703125" style="701" customWidth="1"/>
    <col min="10755" max="10755" width="51.5703125" style="701" bestFit="1" customWidth="1"/>
    <col min="10756" max="10756" width="29" style="701" customWidth="1"/>
    <col min="10757" max="10757" width="92.42578125" style="701" bestFit="1" customWidth="1"/>
    <col min="10758" max="11008" width="9.140625" style="701"/>
    <col min="11009" max="11009" width="2" style="701" bestFit="1" customWidth="1"/>
    <col min="11010" max="11010" width="51.5703125" style="701" customWidth="1"/>
    <col min="11011" max="11011" width="51.5703125" style="701" bestFit="1" customWidth="1"/>
    <col min="11012" max="11012" width="29" style="701" customWidth="1"/>
    <col min="11013" max="11013" width="92.42578125" style="701" bestFit="1" customWidth="1"/>
    <col min="11014" max="11264" width="9.140625" style="701"/>
    <col min="11265" max="11265" width="2" style="701" bestFit="1" customWidth="1"/>
    <col min="11266" max="11266" width="51.5703125" style="701" customWidth="1"/>
    <col min="11267" max="11267" width="51.5703125" style="701" bestFit="1" customWidth="1"/>
    <col min="11268" max="11268" width="29" style="701" customWidth="1"/>
    <col min="11269" max="11269" width="92.42578125" style="701" bestFit="1" customWidth="1"/>
    <col min="11270" max="11520" width="9.140625" style="701"/>
    <col min="11521" max="11521" width="2" style="701" bestFit="1" customWidth="1"/>
    <col min="11522" max="11522" width="51.5703125" style="701" customWidth="1"/>
    <col min="11523" max="11523" width="51.5703125" style="701" bestFit="1" customWidth="1"/>
    <col min="11524" max="11524" width="29" style="701" customWidth="1"/>
    <col min="11525" max="11525" width="92.42578125" style="701" bestFit="1" customWidth="1"/>
    <col min="11526" max="11776" width="9.140625" style="701"/>
    <col min="11777" max="11777" width="2" style="701" bestFit="1" customWidth="1"/>
    <col min="11778" max="11778" width="51.5703125" style="701" customWidth="1"/>
    <col min="11779" max="11779" width="51.5703125" style="701" bestFit="1" customWidth="1"/>
    <col min="11780" max="11780" width="29" style="701" customWidth="1"/>
    <col min="11781" max="11781" width="92.42578125" style="701" bestFit="1" customWidth="1"/>
    <col min="11782" max="12032" width="9.140625" style="701"/>
    <col min="12033" max="12033" width="2" style="701" bestFit="1" customWidth="1"/>
    <col min="12034" max="12034" width="51.5703125" style="701" customWidth="1"/>
    <col min="12035" max="12035" width="51.5703125" style="701" bestFit="1" customWidth="1"/>
    <col min="12036" max="12036" width="29" style="701" customWidth="1"/>
    <col min="12037" max="12037" width="92.42578125" style="701" bestFit="1" customWidth="1"/>
    <col min="12038" max="12288" width="9.140625" style="701"/>
    <col min="12289" max="12289" width="2" style="701" bestFit="1" customWidth="1"/>
    <col min="12290" max="12290" width="51.5703125" style="701" customWidth="1"/>
    <col min="12291" max="12291" width="51.5703125" style="701" bestFit="1" customWidth="1"/>
    <col min="12292" max="12292" width="29" style="701" customWidth="1"/>
    <col min="12293" max="12293" width="92.42578125" style="701" bestFit="1" customWidth="1"/>
    <col min="12294" max="12544" width="9.140625" style="701"/>
    <col min="12545" max="12545" width="2" style="701" bestFit="1" customWidth="1"/>
    <col min="12546" max="12546" width="51.5703125" style="701" customWidth="1"/>
    <col min="12547" max="12547" width="51.5703125" style="701" bestFit="1" customWidth="1"/>
    <col min="12548" max="12548" width="29" style="701" customWidth="1"/>
    <col min="12549" max="12549" width="92.42578125" style="701" bestFit="1" customWidth="1"/>
    <col min="12550" max="12800" width="9.140625" style="701"/>
    <col min="12801" max="12801" width="2" style="701" bestFit="1" customWidth="1"/>
    <col min="12802" max="12802" width="51.5703125" style="701" customWidth="1"/>
    <col min="12803" max="12803" width="51.5703125" style="701" bestFit="1" customWidth="1"/>
    <col min="12804" max="12804" width="29" style="701" customWidth="1"/>
    <col min="12805" max="12805" width="92.42578125" style="701" bestFit="1" customWidth="1"/>
    <col min="12806" max="13056" width="9.140625" style="701"/>
    <col min="13057" max="13057" width="2" style="701" bestFit="1" customWidth="1"/>
    <col min="13058" max="13058" width="51.5703125" style="701" customWidth="1"/>
    <col min="13059" max="13059" width="51.5703125" style="701" bestFit="1" customWidth="1"/>
    <col min="13060" max="13060" width="29" style="701" customWidth="1"/>
    <col min="13061" max="13061" width="92.42578125" style="701" bestFit="1" customWidth="1"/>
    <col min="13062" max="13312" width="9.140625" style="701"/>
    <col min="13313" max="13313" width="2" style="701" bestFit="1" customWidth="1"/>
    <col min="13314" max="13314" width="51.5703125" style="701" customWidth="1"/>
    <col min="13315" max="13315" width="51.5703125" style="701" bestFit="1" customWidth="1"/>
    <col min="13316" max="13316" width="29" style="701" customWidth="1"/>
    <col min="13317" max="13317" width="92.42578125" style="701" bestFit="1" customWidth="1"/>
    <col min="13318" max="13568" width="9.140625" style="701"/>
    <col min="13569" max="13569" width="2" style="701" bestFit="1" customWidth="1"/>
    <col min="13570" max="13570" width="51.5703125" style="701" customWidth="1"/>
    <col min="13571" max="13571" width="51.5703125" style="701" bestFit="1" customWidth="1"/>
    <col min="13572" max="13572" width="29" style="701" customWidth="1"/>
    <col min="13573" max="13573" width="92.42578125" style="701" bestFit="1" customWidth="1"/>
    <col min="13574" max="13824" width="9.140625" style="701"/>
    <col min="13825" max="13825" width="2" style="701" bestFit="1" customWidth="1"/>
    <col min="13826" max="13826" width="51.5703125" style="701" customWidth="1"/>
    <col min="13827" max="13827" width="51.5703125" style="701" bestFit="1" customWidth="1"/>
    <col min="13828" max="13828" width="29" style="701" customWidth="1"/>
    <col min="13829" max="13829" width="92.42578125" style="701" bestFit="1" customWidth="1"/>
    <col min="13830" max="14080" width="9.140625" style="701"/>
    <col min="14081" max="14081" width="2" style="701" bestFit="1" customWidth="1"/>
    <col min="14082" max="14082" width="51.5703125" style="701" customWidth="1"/>
    <col min="14083" max="14083" width="51.5703125" style="701" bestFit="1" customWidth="1"/>
    <col min="14084" max="14084" width="29" style="701" customWidth="1"/>
    <col min="14085" max="14085" width="92.42578125" style="701" bestFit="1" customWidth="1"/>
    <col min="14086" max="14336" width="9.140625" style="701"/>
    <col min="14337" max="14337" width="2" style="701" bestFit="1" customWidth="1"/>
    <col min="14338" max="14338" width="51.5703125" style="701" customWidth="1"/>
    <col min="14339" max="14339" width="51.5703125" style="701" bestFit="1" customWidth="1"/>
    <col min="14340" max="14340" width="29" style="701" customWidth="1"/>
    <col min="14341" max="14341" width="92.42578125" style="701" bestFit="1" customWidth="1"/>
    <col min="14342" max="14592" width="9.140625" style="701"/>
    <col min="14593" max="14593" width="2" style="701" bestFit="1" customWidth="1"/>
    <col min="14594" max="14594" width="51.5703125" style="701" customWidth="1"/>
    <col min="14595" max="14595" width="51.5703125" style="701" bestFit="1" customWidth="1"/>
    <col min="14596" max="14596" width="29" style="701" customWidth="1"/>
    <col min="14597" max="14597" width="92.42578125" style="701" bestFit="1" customWidth="1"/>
    <col min="14598" max="14848" width="9.140625" style="701"/>
    <col min="14849" max="14849" width="2" style="701" bestFit="1" customWidth="1"/>
    <col min="14850" max="14850" width="51.5703125" style="701" customWidth="1"/>
    <col min="14851" max="14851" width="51.5703125" style="701" bestFit="1" customWidth="1"/>
    <col min="14852" max="14852" width="29" style="701" customWidth="1"/>
    <col min="14853" max="14853" width="92.42578125" style="701" bestFit="1" customWidth="1"/>
    <col min="14854" max="15104" width="9.140625" style="701"/>
    <col min="15105" max="15105" width="2" style="701" bestFit="1" customWidth="1"/>
    <col min="15106" max="15106" width="51.5703125" style="701" customWidth="1"/>
    <col min="15107" max="15107" width="51.5703125" style="701" bestFit="1" customWidth="1"/>
    <col min="15108" max="15108" width="29" style="701" customWidth="1"/>
    <col min="15109" max="15109" width="92.42578125" style="701" bestFit="1" customWidth="1"/>
    <col min="15110" max="15360" width="9.140625" style="701"/>
    <col min="15361" max="15361" width="2" style="701" bestFit="1" customWidth="1"/>
    <col min="15362" max="15362" width="51.5703125" style="701" customWidth="1"/>
    <col min="15363" max="15363" width="51.5703125" style="701" bestFit="1" customWidth="1"/>
    <col min="15364" max="15364" width="29" style="701" customWidth="1"/>
    <col min="15365" max="15365" width="92.42578125" style="701" bestFit="1" customWidth="1"/>
    <col min="15366" max="15616" width="9.140625" style="701"/>
    <col min="15617" max="15617" width="2" style="701" bestFit="1" customWidth="1"/>
    <col min="15618" max="15618" width="51.5703125" style="701" customWidth="1"/>
    <col min="15619" max="15619" width="51.5703125" style="701" bestFit="1" customWidth="1"/>
    <col min="15620" max="15620" width="29" style="701" customWidth="1"/>
    <col min="15621" max="15621" width="92.42578125" style="701" bestFit="1" customWidth="1"/>
    <col min="15622" max="15872" width="9.140625" style="701"/>
    <col min="15873" max="15873" width="2" style="701" bestFit="1" customWidth="1"/>
    <col min="15874" max="15874" width="51.5703125" style="701" customWidth="1"/>
    <col min="15875" max="15875" width="51.5703125" style="701" bestFit="1" customWidth="1"/>
    <col min="15876" max="15876" width="29" style="701" customWidth="1"/>
    <col min="15877" max="15877" width="92.42578125" style="701" bestFit="1" customWidth="1"/>
    <col min="15878" max="16128" width="9.140625" style="701"/>
    <col min="16129" max="16129" width="2" style="701" bestFit="1" customWidth="1"/>
    <col min="16130" max="16130" width="51.5703125" style="701" customWidth="1"/>
    <col min="16131" max="16131" width="51.5703125" style="701" bestFit="1" customWidth="1"/>
    <col min="16132" max="16132" width="29" style="701" customWidth="1"/>
    <col min="16133" max="16133" width="92.42578125" style="701" bestFit="1" customWidth="1"/>
    <col min="16134" max="16384" width="9.140625" style="701"/>
  </cols>
  <sheetData>
    <row r="2" spans="2:3">
      <c r="B2" s="402" t="s">
        <v>10543</v>
      </c>
      <c r="C2" s="387"/>
    </row>
    <row r="4" spans="2:3">
      <c r="B4" s="760" t="s">
        <v>10544</v>
      </c>
      <c r="C4" s="761" t="b">
        <v>1</v>
      </c>
    </row>
    <row r="5" spans="2:3">
      <c r="B5" s="762" t="s">
        <v>2216</v>
      </c>
      <c r="C5" s="761" t="s">
        <v>10545</v>
      </c>
    </row>
    <row r="6" spans="2:3">
      <c r="B6" s="762" t="s">
        <v>10546</v>
      </c>
      <c r="C6" s="763" t="s">
        <v>10547</v>
      </c>
    </row>
    <row r="8" spans="2:3">
      <c r="B8" s="402" t="s">
        <v>10548</v>
      </c>
      <c r="C8" s="387"/>
    </row>
    <row r="10" spans="2:3">
      <c r="B10" s="764" t="s">
        <v>555</v>
      </c>
      <c r="C10" s="765" t="s">
        <v>555</v>
      </c>
    </row>
    <row r="11" spans="2:3" ht="45" customHeight="1">
      <c r="B11" s="837" t="s">
        <v>555</v>
      </c>
      <c r="C11" s="838"/>
    </row>
    <row r="13" spans="2:3">
      <c r="B13" s="402" t="s">
        <v>10549</v>
      </c>
      <c r="C13" s="387"/>
    </row>
    <row r="14" spans="2:3">
      <c r="B14" s="701" t="s">
        <v>555</v>
      </c>
    </row>
    <row r="15" spans="2:3">
      <c r="B15" s="759" t="s">
        <v>10550</v>
      </c>
      <c r="C15" s="759" t="s">
        <v>10551</v>
      </c>
    </row>
    <row r="16" spans="2:3">
      <c r="B16" s="757" t="s">
        <v>10552</v>
      </c>
      <c r="C16" s="701" t="s">
        <v>10553</v>
      </c>
    </row>
    <row r="17" spans="2:4">
      <c r="B17" s="757" t="s">
        <v>10554</v>
      </c>
      <c r="C17" s="701" t="s">
        <v>10555</v>
      </c>
      <c r="D17" s="758"/>
    </row>
    <row r="18" spans="2:4">
      <c r="B18" s="701" t="s">
        <v>555</v>
      </c>
    </row>
    <row r="19" spans="2:4">
      <c r="B19" s="453" t="s">
        <v>10556</v>
      </c>
      <c r="C19" s="453" t="s">
        <v>10557</v>
      </c>
    </row>
    <row r="20" spans="2:4">
      <c r="B20" s="757" t="s">
        <v>4515</v>
      </c>
      <c r="C20" s="757" t="s">
        <v>4517</v>
      </c>
    </row>
    <row r="21" spans="2:4">
      <c r="B21" s="757" t="s">
        <v>4516</v>
      </c>
      <c r="C21" s="757" t="s">
        <v>4518</v>
      </c>
    </row>
    <row r="22" spans="2:4">
      <c r="B22" s="757"/>
      <c r="C22" s="757"/>
    </row>
    <row r="23" spans="2:4">
      <c r="B23" s="757"/>
      <c r="C23" s="757"/>
    </row>
    <row r="24" spans="2:4">
      <c r="C24" s="186"/>
    </row>
    <row r="25" spans="2:4">
      <c r="C25" s="186"/>
    </row>
    <row r="26" spans="2:4">
      <c r="C26" s="186"/>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workbookViewId="0">
      <selection activeCell="D6" sqref="D6"/>
    </sheetView>
    <sheetView workbookViewId="1">
      <selection activeCell="H5" sqref="H5"/>
    </sheetView>
  </sheetViews>
  <sheetFormatPr defaultRowHeight="16.5"/>
  <cols>
    <col min="1" max="1" width="2.7109375" style="458" customWidth="1"/>
    <col min="2" max="2" width="38.7109375" style="458" customWidth="1"/>
    <col min="3" max="3" width="20.7109375" style="458" customWidth="1"/>
    <col min="4" max="4" width="38.7109375" style="458" customWidth="1"/>
    <col min="5" max="5" width="2.7109375" style="563" customWidth="1"/>
    <col min="6" max="6" width="10.7109375" style="458" customWidth="1"/>
    <col min="7" max="7" width="9.140625" style="458" customWidth="1"/>
    <col min="8" max="8" width="8.42578125" style="460" customWidth="1"/>
    <col min="9" max="9" width="2.7109375" style="460" customWidth="1"/>
    <col min="10" max="10" width="19.7109375" style="460" customWidth="1"/>
    <col min="11" max="11" width="26.42578125" style="460" bestFit="1" customWidth="1"/>
    <col min="12" max="12" width="40.140625" style="458" bestFit="1" customWidth="1"/>
    <col min="13" max="13" width="18" style="458" customWidth="1"/>
    <col min="14" max="14" width="9.85546875" style="458" customWidth="1"/>
    <col min="15" max="15" width="9" style="458" customWidth="1"/>
    <col min="16" max="16" width="9.140625" style="458" customWidth="1"/>
    <col min="17" max="17" width="9.85546875" style="458" customWidth="1"/>
    <col min="18" max="35" width="9.140625" style="458" customWidth="1"/>
    <col min="36" max="36" width="9.7109375" style="458" customWidth="1"/>
    <col min="37" max="37" width="27.85546875" style="458" customWidth="1"/>
    <col min="38" max="38" width="9.28515625" style="458" customWidth="1"/>
    <col min="39" max="39" width="11.28515625" style="458" customWidth="1"/>
    <col min="40" max="40" width="9.28515625" style="458" customWidth="1"/>
    <col min="41" max="41" width="11.28515625" style="458" customWidth="1"/>
    <col min="42" max="42" width="9.28515625" style="458" customWidth="1"/>
    <col min="43" max="43" width="11.28515625" style="458" customWidth="1"/>
    <col min="44" max="44" width="9.28515625" style="458" customWidth="1"/>
    <col min="45" max="45" width="11.28515625" style="458" customWidth="1"/>
    <col min="46" max="46" width="18.42578125" style="458" customWidth="1"/>
    <col min="47" max="47" width="11.28515625" style="458" customWidth="1"/>
    <col min="48" max="48" width="29" style="458" customWidth="1"/>
    <col min="49" max="49" width="15.42578125" style="458" customWidth="1"/>
    <col min="50" max="50" width="26.42578125" style="458" customWidth="1"/>
    <col min="51" max="51" width="24" style="458" customWidth="1"/>
    <col min="52" max="52" width="15.5703125" style="458" customWidth="1"/>
    <col min="53" max="53" width="19" style="458" customWidth="1"/>
    <col min="54" max="54" width="11" style="458" customWidth="1"/>
    <col min="55" max="16384" width="9.140625" style="458"/>
  </cols>
  <sheetData>
    <row r="1" spans="1:54" ht="24.75" customHeight="1" thickBot="1">
      <c r="A1" s="457"/>
      <c r="J1" s="460" t="s">
        <v>3846</v>
      </c>
    </row>
    <row r="2" spans="1:54" ht="21.75" customHeight="1">
      <c r="B2" s="630"/>
      <c r="C2" s="631" t="str">
        <f ca="1">"Simulador Autos " &amp; CondicionAuto_Descripcion &amp; "s"</f>
        <v>Simulador Autos Nuevos</v>
      </c>
      <c r="D2" s="632"/>
    </row>
    <row r="3" spans="1:54" ht="21.75" customHeight="1" thickBot="1">
      <c r="B3" s="633"/>
      <c r="C3" s="634" t="str">
        <f>SELECCION_TIPO_TARIFA</f>
        <v>Tradicional</v>
      </c>
      <c r="D3" s="635"/>
    </row>
    <row r="4" spans="1:54" ht="19.5" customHeight="1" thickBot="1">
      <c r="B4" s="636" t="s">
        <v>4476</v>
      </c>
      <c r="C4" s="637" t="s">
        <v>3268</v>
      </c>
      <c r="D4" s="638"/>
      <c r="F4" s="459"/>
      <c r="G4" s="459"/>
      <c r="H4" s="459"/>
      <c r="I4" s="459"/>
      <c r="J4" s="459"/>
      <c r="K4" s="459"/>
      <c r="L4" s="459"/>
    </row>
    <row r="5" spans="1:54" s="460" customFormat="1" ht="15" customHeight="1">
      <c r="B5" s="859" t="s">
        <v>3269</v>
      </c>
      <c r="C5" s="860"/>
      <c r="D5" s="507">
        <v>42181</v>
      </c>
      <c r="E5" s="563"/>
      <c r="F5" s="461"/>
      <c r="G5" s="462" t="s">
        <v>1676</v>
      </c>
      <c r="H5" s="463" t="s">
        <v>1668</v>
      </c>
      <c r="J5" s="646" t="s">
        <v>3309</v>
      </c>
      <c r="K5" s="646" t="s">
        <v>3307</v>
      </c>
      <c r="L5" s="646" t="s">
        <v>3308</v>
      </c>
      <c r="M5" s="458"/>
      <c r="N5" s="458"/>
      <c r="O5" s="458"/>
      <c r="P5" s="458"/>
      <c r="Q5" s="458"/>
      <c r="R5" s="458"/>
      <c r="S5" s="458"/>
    </row>
    <row r="6" spans="1:54" s="460" customFormat="1" ht="15" customHeight="1">
      <c r="B6" s="845" t="s">
        <v>3271</v>
      </c>
      <c r="C6" s="840"/>
      <c r="D6" s="508">
        <v>250000</v>
      </c>
      <c r="E6" s="563"/>
      <c r="G6" s="464" t="s">
        <v>491</v>
      </c>
      <c r="H6" s="465">
        <v>0</v>
      </c>
      <c r="J6" s="647">
        <f ca="1">IF(CondicionAutoEsNuevo?,Valor_Factura_Mínimo_Nuevos,IF(CondicionAutoEsSeminuevo?,Valor_Factura_Mínimo_Seminuevos))</f>
        <v>31250</v>
      </c>
      <c r="K6" s="647">
        <v>31250</v>
      </c>
      <c r="L6" s="647">
        <v>33333.33</v>
      </c>
      <c r="M6" s="458"/>
      <c r="N6" s="458"/>
      <c r="O6" s="458"/>
      <c r="P6" s="458"/>
      <c r="Q6" s="458"/>
      <c r="R6" s="458"/>
      <c r="S6" s="458"/>
    </row>
    <row r="7" spans="1:54" s="460" customFormat="1" ht="15" customHeight="1">
      <c r="B7" s="861" t="s">
        <v>1641</v>
      </c>
      <c r="C7" s="840"/>
      <c r="D7" s="509" t="s">
        <v>1643</v>
      </c>
      <c r="E7" s="563"/>
      <c r="G7" s="466"/>
      <c r="M7" s="458"/>
      <c r="N7" s="458"/>
      <c r="O7" s="458"/>
      <c r="P7" s="458"/>
      <c r="Q7" s="458"/>
      <c r="R7" s="458"/>
      <c r="S7" s="458"/>
    </row>
    <row r="8" spans="1:54" s="460" customFormat="1" ht="15" customHeight="1">
      <c r="B8" s="845" t="s">
        <v>506</v>
      </c>
      <c r="C8" s="840"/>
      <c r="D8" s="510" t="s">
        <v>509</v>
      </c>
      <c r="E8" s="563"/>
      <c r="F8" s="691"/>
      <c r="G8" s="466"/>
      <c r="M8" s="458"/>
      <c r="N8" s="458"/>
      <c r="O8" s="458"/>
      <c r="P8" s="458"/>
      <c r="Q8" s="458"/>
      <c r="R8" s="458"/>
      <c r="S8" s="458"/>
    </row>
    <row r="9" spans="1:54" s="460" customFormat="1" ht="15" customHeight="1">
      <c r="B9" s="862" t="s">
        <v>3273</v>
      </c>
      <c r="C9" s="840"/>
      <c r="D9" s="511" t="s">
        <v>1694</v>
      </c>
      <c r="E9" s="707"/>
      <c r="G9" s="466"/>
      <c r="M9" s="458"/>
      <c r="N9" s="458"/>
      <c r="O9" s="458"/>
      <c r="P9" s="458"/>
      <c r="Q9" s="458"/>
      <c r="R9" s="458"/>
      <c r="S9" s="458"/>
    </row>
    <row r="10" spans="1:54" s="460" customFormat="1" ht="15" customHeight="1">
      <c r="B10" s="845" t="s">
        <v>3274</v>
      </c>
      <c r="C10" s="840"/>
      <c r="D10" s="510">
        <v>2015</v>
      </c>
      <c r="E10" s="563"/>
      <c r="G10" s="466"/>
      <c r="M10" s="458"/>
      <c r="N10" s="458"/>
      <c r="O10" s="458"/>
      <c r="P10" s="458"/>
      <c r="Q10" s="458"/>
      <c r="R10" s="458"/>
      <c r="S10" s="458"/>
    </row>
    <row r="11" spans="1:54" s="460" customFormat="1" ht="15" customHeight="1">
      <c r="B11" s="839" t="s">
        <v>2253</v>
      </c>
      <c r="C11" s="840"/>
      <c r="D11" s="511" t="s">
        <v>2283</v>
      </c>
      <c r="E11" s="563"/>
      <c r="G11" s="466"/>
      <c r="M11" s="458"/>
      <c r="N11" s="458"/>
      <c r="O11" s="458"/>
      <c r="P11" s="458"/>
      <c r="Q11" s="458"/>
      <c r="R11" s="458"/>
      <c r="S11" s="458"/>
    </row>
    <row r="12" spans="1:54" s="460" customFormat="1" ht="15" customHeight="1">
      <c r="B12" s="845" t="s">
        <v>3275</v>
      </c>
      <c r="C12" s="840"/>
      <c r="D12" s="512" t="s">
        <v>2342</v>
      </c>
      <c r="E12" s="563"/>
      <c r="G12" s="466"/>
      <c r="L12" s="460" t="s">
        <v>5090</v>
      </c>
      <c r="M12" s="458"/>
      <c r="N12" s="458"/>
      <c r="O12" s="458"/>
      <c r="P12" s="458"/>
      <c r="Q12" s="458"/>
      <c r="R12" s="458"/>
      <c r="S12" s="458"/>
    </row>
    <row r="13" spans="1:54" ht="15" customHeight="1">
      <c r="B13" s="839" t="s">
        <v>18</v>
      </c>
      <c r="C13" s="840"/>
      <c r="D13" s="513">
        <v>0.1</v>
      </c>
      <c r="G13" s="467" t="s">
        <v>21</v>
      </c>
      <c r="H13" s="468">
        <f ca="1">PorcentajeMinimoEnganche</f>
        <v>0.1</v>
      </c>
      <c r="J13" s="469">
        <f>+PorcentajeMaximoEnganche</f>
        <v>0.9</v>
      </c>
      <c r="L13" s="458">
        <f>CapturaValorFactura</f>
        <v>250000</v>
      </c>
    </row>
    <row r="14" spans="1:54" ht="15" customHeight="1">
      <c r="B14" s="846" t="s">
        <v>19</v>
      </c>
      <c r="C14" s="840"/>
      <c r="D14" s="514">
        <f>CapturaPorcentajeEnganche * CapturaValorFactura</f>
        <v>25000</v>
      </c>
      <c r="H14" s="470">
        <f ca="1">CapturaValorFactura*PorcentajeMinimoEnganche</f>
        <v>25000</v>
      </c>
      <c r="I14" s="458"/>
      <c r="J14" s="471">
        <f>+CapturaValorFactura*Porcentaje_máximo_enganche</f>
        <v>225000</v>
      </c>
      <c r="K14" s="458"/>
      <c r="L14" s="458">
        <f>L13*0.04</f>
        <v>10000</v>
      </c>
      <c r="AJ14" s="458" t="s">
        <v>503</v>
      </c>
      <c r="AK14" s="458" t="s">
        <v>1770</v>
      </c>
      <c r="AL14" s="458" t="s">
        <v>1771</v>
      </c>
      <c r="AM14" s="458" t="s">
        <v>1772</v>
      </c>
      <c r="AN14" s="458" t="s">
        <v>1773</v>
      </c>
      <c r="AO14" s="458" t="s">
        <v>1774</v>
      </c>
      <c r="AP14" s="458" t="s">
        <v>1775</v>
      </c>
      <c r="AQ14" s="458" t="s">
        <v>1776</v>
      </c>
      <c r="AR14" s="458" t="s">
        <v>1777</v>
      </c>
      <c r="AS14" s="458" t="s">
        <v>1778</v>
      </c>
      <c r="AT14" s="458" t="s">
        <v>1779</v>
      </c>
      <c r="AU14" s="458" t="s">
        <v>1780</v>
      </c>
      <c r="AV14" s="458" t="s">
        <v>1781</v>
      </c>
      <c r="AW14" s="458" t="s">
        <v>1782</v>
      </c>
      <c r="AX14" s="458" t="s">
        <v>1783</v>
      </c>
      <c r="AY14" s="458" t="s">
        <v>1784</v>
      </c>
      <c r="AZ14" s="458" t="s">
        <v>1785</v>
      </c>
      <c r="BA14" s="458" t="s">
        <v>1786</v>
      </c>
      <c r="BB14" s="458" t="s">
        <v>1787</v>
      </c>
    </row>
    <row r="15" spans="1:54" ht="15" customHeight="1">
      <c r="B15" s="839" t="s">
        <v>3277</v>
      </c>
      <c r="C15" s="847"/>
      <c r="D15" s="515">
        <v>2.5000000000000001E-2</v>
      </c>
    </row>
    <row r="16" spans="1:54" s="460" customFormat="1" ht="15" customHeight="1">
      <c r="B16" s="845" t="s">
        <v>3805</v>
      </c>
      <c r="C16" s="842"/>
      <c r="D16" s="510" t="s">
        <v>1656</v>
      </c>
      <c r="E16" s="563"/>
      <c r="G16" s="466"/>
      <c r="M16" s="458"/>
      <c r="N16" s="458"/>
      <c r="O16" s="458"/>
      <c r="P16" s="458"/>
      <c r="Q16" s="458"/>
      <c r="R16" s="458"/>
      <c r="S16" s="458"/>
    </row>
    <row r="17" spans="1:19" s="460" customFormat="1" ht="15" customHeight="1">
      <c r="B17" s="853" t="s">
        <v>5080</v>
      </c>
      <c r="C17" s="854"/>
      <c r="D17" s="666" t="s">
        <v>5086</v>
      </c>
      <c r="E17" s="563"/>
      <c r="G17" s="466"/>
      <c r="M17" s="458"/>
      <c r="N17" s="458"/>
      <c r="O17" s="458"/>
      <c r="P17" s="458"/>
      <c r="Q17" s="458"/>
      <c r="R17" s="458"/>
      <c r="S17" s="458"/>
    </row>
    <row r="18" spans="1:19" s="460" customFormat="1" ht="15" customHeight="1">
      <c r="B18" s="843" t="s">
        <v>5079</v>
      </c>
      <c r="C18" s="844"/>
      <c r="D18" s="667">
        <v>10000</v>
      </c>
      <c r="E18" s="563"/>
      <c r="G18" s="466"/>
      <c r="K18" s="460">
        <f>CapturaPorcentajeEnganche * CapturaValorFactura</f>
        <v>25000</v>
      </c>
      <c r="M18" s="458"/>
      <c r="N18" s="458"/>
      <c r="O18" s="458"/>
      <c r="P18" s="458"/>
      <c r="Q18" s="458"/>
      <c r="R18" s="458"/>
      <c r="S18" s="458"/>
    </row>
    <row r="19" spans="1:19" s="460" customFormat="1" ht="15" customHeight="1">
      <c r="B19" s="850" t="s">
        <v>3822</v>
      </c>
      <c r="C19" s="851"/>
      <c r="D19" s="852"/>
      <c r="E19" s="563"/>
      <c r="G19" s="466"/>
      <c r="M19" s="458"/>
      <c r="N19" s="458"/>
      <c r="O19" s="458"/>
      <c r="P19" s="458"/>
      <c r="Q19" s="458"/>
      <c r="R19" s="458"/>
      <c r="S19" s="458"/>
    </row>
    <row r="20" spans="1:19" s="460" customFormat="1" ht="15" hidden="1" customHeight="1">
      <c r="B20" s="857" t="s">
        <v>4286</v>
      </c>
      <c r="C20" s="858"/>
      <c r="D20" s="516" t="s">
        <v>1636</v>
      </c>
      <c r="E20" s="563"/>
      <c r="M20" s="458"/>
      <c r="N20" s="458"/>
      <c r="O20" s="458"/>
      <c r="P20" s="458"/>
      <c r="Q20" s="458"/>
      <c r="R20" s="458"/>
      <c r="S20" s="458"/>
    </row>
    <row r="21" spans="1:19" s="460" customFormat="1" ht="15" customHeight="1">
      <c r="B21" s="846" t="s">
        <v>5117</v>
      </c>
      <c r="C21" s="863"/>
      <c r="D21" s="517" t="s">
        <v>1635</v>
      </c>
      <c r="E21" s="563"/>
      <c r="M21" s="458"/>
      <c r="N21" s="458"/>
      <c r="O21" s="458"/>
      <c r="P21" s="458"/>
      <c r="Q21" s="458"/>
      <c r="R21" s="458"/>
      <c r="S21" s="458"/>
    </row>
    <row r="22" spans="1:19" s="460" customFormat="1" ht="15" customHeight="1" thickBot="1">
      <c r="B22" s="841" t="s">
        <v>5120</v>
      </c>
      <c r="C22" s="864"/>
      <c r="D22" s="516" t="s">
        <v>1635</v>
      </c>
      <c r="E22" s="563"/>
      <c r="G22" s="472"/>
      <c r="M22" s="458"/>
      <c r="N22" s="458"/>
      <c r="O22" s="458"/>
      <c r="P22" s="458"/>
      <c r="Q22" s="458"/>
      <c r="R22" s="458"/>
      <c r="S22" s="458"/>
    </row>
    <row r="23" spans="1:19" s="460" customFormat="1" ht="17.25" hidden="1" thickBot="1">
      <c r="A23" s="458"/>
      <c r="B23" s="848" t="s">
        <v>5118</v>
      </c>
      <c r="C23" s="849"/>
      <c r="D23" s="518" t="s">
        <v>1636</v>
      </c>
      <c r="E23" s="563"/>
      <c r="F23" s="458"/>
      <c r="G23" s="458"/>
      <c r="L23" s="458"/>
      <c r="M23" s="458"/>
      <c r="N23" s="458"/>
      <c r="O23" s="458"/>
      <c r="P23" s="458"/>
      <c r="Q23" s="458"/>
      <c r="R23" s="458"/>
      <c r="S23" s="458"/>
    </row>
    <row r="24" spans="1:19" ht="20.100000000000001" customHeight="1" thickBot="1">
      <c r="B24" s="867" t="s">
        <v>4521</v>
      </c>
      <c r="C24" s="868"/>
      <c r="D24" s="868"/>
    </row>
    <row r="25" spans="1:19" ht="15" customHeight="1">
      <c r="B25" s="865" t="s">
        <v>1687</v>
      </c>
      <c r="C25" s="866"/>
      <c r="D25" s="473">
        <f ca="1">MontoEnganche</f>
        <v>25000</v>
      </c>
      <c r="J25" s="460">
        <v>37500</v>
      </c>
    </row>
    <row r="26" spans="1:19" ht="15" customHeight="1">
      <c r="B26" s="845" t="s">
        <v>3806</v>
      </c>
      <c r="C26" s="842"/>
      <c r="D26" s="474" t="str">
        <f ca="1">MontoSeguroDeContado</f>
        <v>$11,424.74</v>
      </c>
      <c r="J26" s="460" t="s">
        <v>5060</v>
      </c>
    </row>
    <row r="27" spans="1:19">
      <c r="B27" s="845" t="s">
        <v>3276</v>
      </c>
      <c r="C27" s="842"/>
      <c r="D27" s="474">
        <f ca="1">MontoComisionPorAperturaConIva</f>
        <v>6814.9999999999991</v>
      </c>
      <c r="J27" s="460">
        <v>3810.836725108371</v>
      </c>
    </row>
    <row r="28" spans="1:19">
      <c r="B28" s="855" t="s">
        <v>3278</v>
      </c>
      <c r="C28" s="856"/>
      <c r="D28" s="475">
        <f ca="1">+D27+D26+D25</f>
        <v>43239.74</v>
      </c>
      <c r="J28" s="460">
        <v>41310.836725108369</v>
      </c>
    </row>
    <row r="29" spans="1:19" ht="5.0999999999999996" customHeight="1">
      <c r="B29" s="476"/>
      <c r="C29" s="477"/>
      <c r="D29" s="478"/>
    </row>
    <row r="30" spans="1:19" ht="15" customHeight="1">
      <c r="B30" s="845" t="s">
        <v>3280</v>
      </c>
      <c r="C30" s="842"/>
      <c r="D30" s="474">
        <f ca="1">MontoFinanciarAuto</f>
        <v>225000</v>
      </c>
      <c r="J30" s="460">
        <v>112500</v>
      </c>
    </row>
    <row r="31" spans="1:19" ht="15" customHeight="1">
      <c r="B31" s="841" t="s">
        <v>3807</v>
      </c>
      <c r="C31" s="842"/>
      <c r="D31" s="474">
        <f ca="1">MontoFinanciarSeguros</f>
        <v>0</v>
      </c>
      <c r="G31" s="479"/>
      <c r="J31" s="460">
        <v>18908.162934771415</v>
      </c>
    </row>
    <row r="32" spans="1:19" ht="15" customHeight="1">
      <c r="B32" s="841" t="s">
        <v>5081</v>
      </c>
      <c r="C32" s="842"/>
      <c r="D32" s="474">
        <f>MontoGtiaExt</f>
        <v>10000</v>
      </c>
      <c r="G32" s="479"/>
    </row>
    <row r="33" spans="2:11" ht="15" customHeight="1" thickBot="1">
      <c r="B33" s="881" t="s">
        <v>3281</v>
      </c>
      <c r="C33" s="882"/>
      <c r="D33" s="480">
        <f ca="1">MontoFinanciarTotal</f>
        <v>235000</v>
      </c>
    </row>
    <row r="34" spans="2:11" ht="19.5" customHeight="1" thickBot="1">
      <c r="B34" s="867" t="s">
        <v>3270</v>
      </c>
      <c r="C34" s="868"/>
      <c r="D34" s="868"/>
    </row>
    <row r="35" spans="2:11" ht="15" customHeight="1">
      <c r="B35" s="481" t="s">
        <v>503</v>
      </c>
      <c r="C35" s="482" t="s">
        <v>1681</v>
      </c>
      <c r="D35" s="483" t="s">
        <v>3279</v>
      </c>
    </row>
    <row r="36" spans="2:11" ht="15" customHeight="1">
      <c r="B36" s="484">
        <f>IF(Calculos!K17="","",Calculos!K17)</f>
        <v>12</v>
      </c>
      <c r="C36" s="485">
        <f>IF(Calculos!L17="","",Calculos!L17)</f>
        <v>0.129</v>
      </c>
      <c r="D36" s="486">
        <f>IF(Calculos!M17="","",Calculos!M17)</f>
        <v>21149.54</v>
      </c>
    </row>
    <row r="37" spans="2:11" ht="15" customHeight="1">
      <c r="B37" s="487">
        <f>IF(Calculos!K18="","",Calculos!K18)</f>
        <v>24</v>
      </c>
      <c r="C37" s="488">
        <f>IF(Calculos!L18="","",Calculos!L18)</f>
        <v>0.129</v>
      </c>
      <c r="D37" s="489">
        <f>IF(Calculos!M18="","",Calculos!M18)</f>
        <v>11332.83</v>
      </c>
    </row>
    <row r="38" spans="2:11" ht="15" customHeight="1">
      <c r="B38" s="484">
        <f>IF(Calculos!K19="","",Calculos!K19)</f>
        <v>36</v>
      </c>
      <c r="C38" s="485">
        <f>IF(Calculos!L19="","",Calculos!L19)</f>
        <v>0.129</v>
      </c>
      <c r="D38" s="486">
        <f>IF(Calculos!M19="","",Calculos!M19)</f>
        <v>8082.97</v>
      </c>
    </row>
    <row r="39" spans="2:11" ht="15" customHeight="1">
      <c r="B39" s="487">
        <f>IF(Calculos!K20="","",Calculos!K20)</f>
        <v>48</v>
      </c>
      <c r="C39" s="488">
        <f>IF(Calculos!L20="","",Calculos!L20)</f>
        <v>0.129</v>
      </c>
      <c r="D39" s="489">
        <f>IF(Calculos!M20="","",Calculos!M20)</f>
        <v>6474.66</v>
      </c>
    </row>
    <row r="40" spans="2:11" ht="15" customHeight="1" thickBot="1">
      <c r="B40" s="490">
        <f>IF(Calculos!K21="","",Calculos!K21)</f>
        <v>60</v>
      </c>
      <c r="C40" s="491">
        <f>IF(Calculos!L21="","",Calculos!L21)</f>
        <v>0.13200000000000001</v>
      </c>
      <c r="D40" s="492">
        <f>IF(Calculos!M21="","",Calculos!M21)</f>
        <v>5564.02</v>
      </c>
    </row>
    <row r="41" spans="2:11" s="493" customFormat="1" ht="15" customHeight="1" thickBot="1">
      <c r="E41" s="563"/>
      <c r="H41" s="494"/>
      <c r="I41" s="494"/>
      <c r="J41" s="494"/>
      <c r="K41" s="494"/>
    </row>
    <row r="42" spans="2:11" ht="12" customHeight="1">
      <c r="B42" s="883" t="str">
        <f>LEYENDA_DIAS_INTERESES_PRIMER_PAGO</f>
        <v/>
      </c>
      <c r="C42" s="884"/>
      <c r="D42" s="885"/>
    </row>
    <row r="43" spans="2:11" ht="30" customHeight="1">
      <c r="B43" s="886" t="str">
        <f ca="1">+Leyenda.Seguro.1</f>
        <v>* Costo del Seguro Banorte por el primer año por $11,424.74, incluye Indeminización Valor Factura Primer Año, Reparación en Agencia y Auto Sustituto en el pago a la firma del contrato.</v>
      </c>
      <c r="C43" s="887"/>
      <c r="D43" s="888"/>
    </row>
    <row r="44" spans="2:11" ht="30" customHeight="1">
      <c r="B44" s="878" t="str">
        <f ca="1">+Leyenda_coberturas_adicionales_cotizacion</f>
        <v>Incluye la(s) siguiente(s) cobertura(s) adicional(es):</v>
      </c>
      <c r="C44" s="879"/>
      <c r="D44" s="880"/>
    </row>
    <row r="45" spans="2:11" ht="24.95" customHeight="1">
      <c r="B45" s="889"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90"/>
      <c r="D45" s="891"/>
    </row>
    <row r="46" spans="2:11" ht="24.95" customHeight="1">
      <c r="B46" s="889"/>
      <c r="C46" s="890"/>
      <c r="D46" s="891"/>
    </row>
    <row r="47" spans="2:11" ht="24.95" customHeight="1">
      <c r="B47" s="889"/>
      <c r="C47" s="890"/>
      <c r="D47" s="891"/>
    </row>
    <row r="48" spans="2:11" ht="24.95" customHeight="1">
      <c r="B48" s="889"/>
      <c r="C48" s="890"/>
      <c r="D48" s="891"/>
    </row>
    <row r="49" spans="2:18" ht="24.95" customHeight="1">
      <c r="B49" s="889"/>
      <c r="C49" s="890"/>
      <c r="D49" s="891"/>
    </row>
    <row r="50" spans="2:18">
      <c r="B50" s="869" t="s">
        <v>4477</v>
      </c>
      <c r="C50" s="870"/>
      <c r="D50" s="871"/>
      <c r="G50" s="458" t="s">
        <v>3847</v>
      </c>
    </row>
    <row r="51" spans="2:18">
      <c r="B51" s="538" t="s">
        <v>4478</v>
      </c>
      <c r="C51" s="495"/>
      <c r="D51" s="496"/>
    </row>
    <row r="52" spans="2:18" ht="15" customHeight="1">
      <c r="B52" s="872" t="s">
        <v>3849</v>
      </c>
      <c r="C52" s="873"/>
      <c r="D52" s="874"/>
    </row>
    <row r="53" spans="2:18">
      <c r="B53" s="872"/>
      <c r="C53" s="873"/>
      <c r="D53" s="874"/>
    </row>
    <row r="54" spans="2:18" ht="17.25" thickBot="1">
      <c r="B54" s="875"/>
      <c r="C54" s="876"/>
      <c r="D54" s="877"/>
    </row>
    <row r="55" spans="2:18" ht="5.0999999999999996" customHeight="1"/>
    <row r="56" spans="2:18" hidden="1">
      <c r="D56" s="458">
        <f ca="1">TasaInteres</f>
        <v>0.129</v>
      </c>
    </row>
    <row r="57" spans="2:18" hidden="1"/>
    <row r="58" spans="2:18" hidden="1"/>
    <row r="59" spans="2:18" hidden="1"/>
    <row r="60" spans="2:18" hidden="1"/>
    <row r="61" spans="2:18" hidden="1">
      <c r="R61" s="458">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97"/>
      <c r="P145" s="498"/>
      <c r="Q145" s="497"/>
      <c r="R145" s="499"/>
      <c r="S145" s="498"/>
    </row>
    <row r="146" spans="15:19" hidden="1">
      <c r="O146" s="500"/>
      <c r="P146" s="501"/>
      <c r="Q146" s="500"/>
      <c r="R146" s="502"/>
      <c r="S146" s="501"/>
    </row>
    <row r="147" spans="15:19" hidden="1">
      <c r="O147" s="500"/>
      <c r="P147" s="501"/>
      <c r="Q147" s="500"/>
      <c r="R147" s="502"/>
      <c r="S147" s="501"/>
    </row>
    <row r="148" spans="15:19" hidden="1">
      <c r="O148" s="500"/>
      <c r="P148" s="501"/>
      <c r="Q148" s="500"/>
      <c r="R148" s="502"/>
      <c r="S148" s="501"/>
    </row>
    <row r="149" spans="15:19" hidden="1">
      <c r="O149" s="500"/>
      <c r="P149" s="501"/>
      <c r="Q149" s="500"/>
      <c r="R149" s="502"/>
      <c r="S149" s="501"/>
    </row>
    <row r="150" spans="15:19" hidden="1">
      <c r="O150" s="500"/>
      <c r="P150" s="501"/>
      <c r="Q150" s="500"/>
      <c r="R150" s="502"/>
      <c r="S150" s="501"/>
    </row>
    <row r="151" spans="15:19" hidden="1">
      <c r="O151" s="503"/>
      <c r="P151" s="504"/>
      <c r="Q151" s="503"/>
      <c r="R151" s="505"/>
      <c r="S151" s="504"/>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506"/>
    </row>
    <row r="186" spans="13:13" hidden="1">
      <c r="M186" s="506"/>
    </row>
    <row r="187" spans="13:13" hidden="1">
      <c r="M187" s="506"/>
    </row>
    <row r="188" spans="13:13" hidden="1">
      <c r="M188" s="506"/>
    </row>
    <row r="189" spans="13:13" hidden="1">
      <c r="M189" s="506"/>
    </row>
    <row r="190" spans="13:13" hidden="1">
      <c r="M190" s="506"/>
    </row>
    <row r="191" spans="13:13" hidden="1">
      <c r="M191" s="506"/>
    </row>
    <row r="192" spans="13:13" hidden="1">
      <c r="M192" s="506"/>
    </row>
    <row r="193" spans="10:13" hidden="1">
      <c r="M193" s="506"/>
    </row>
    <row r="194" spans="10:13" hidden="1">
      <c r="M194" s="506"/>
    </row>
    <row r="195" spans="10:13" hidden="1">
      <c r="M195" s="506"/>
    </row>
    <row r="196" spans="10:13" hidden="1">
      <c r="M196" s="506"/>
    </row>
    <row r="197" spans="10:13" hidden="1">
      <c r="M197" s="506"/>
    </row>
    <row r="198" spans="10:13" hidden="1">
      <c r="M198" s="506"/>
    </row>
    <row r="199" spans="10:13" hidden="1">
      <c r="M199" s="506"/>
    </row>
    <row r="200" spans="10:13" hidden="1">
      <c r="M200" s="506"/>
    </row>
    <row r="201" spans="10:13" ht="24.75" customHeight="1"/>
    <row r="205" spans="10:13">
      <c r="J205" s="460" t="s">
        <v>3487</v>
      </c>
    </row>
    <row r="206" spans="10:13">
      <c r="J206" s="460" t="s">
        <v>3486</v>
      </c>
    </row>
    <row r="217" spans="12:15">
      <c r="L217" s="458" t="b">
        <v>1</v>
      </c>
      <c r="O217" s="458" t="b">
        <v>1</v>
      </c>
    </row>
    <row r="218" spans="12:15">
      <c r="L218" s="458" t="b">
        <v>0</v>
      </c>
    </row>
    <row r="219" spans="12:15">
      <c r="L219" s="458" t="b">
        <v>1</v>
      </c>
    </row>
    <row r="220" spans="12:15">
      <c r="L220" s="458" t="b">
        <v>1</v>
      </c>
      <c r="O220" s="458" t="s">
        <v>4482</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24"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COMBO_TIPO_PERSONA</formula1>
    </dataValidation>
    <dataValidation type="list" allowBlank="1" showInputMessage="1" showErrorMessage="1" sqref="H5">
      <formula1>COMBO_FRECUENCIA</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85"/>
  <sheetViews>
    <sheetView topLeftCell="A5" workbookViewId="0">
      <selection activeCell="C9" sqref="C9"/>
    </sheetView>
    <sheetView topLeftCell="A5" workbookViewId="1">
      <selection activeCell="A5" sqref="A5"/>
    </sheetView>
  </sheetViews>
  <sheetFormatPr defaultRowHeight="16.5"/>
  <cols>
    <col min="1" max="1" width="7.7109375" style="458" customWidth="1"/>
    <col min="2" max="3" width="10.7109375" style="458" customWidth="1"/>
    <col min="4" max="5" width="12.7109375" style="458" customWidth="1"/>
    <col min="6" max="6" width="10.7109375" style="458" customWidth="1"/>
    <col min="7" max="8" width="12.7109375" style="458" customWidth="1"/>
    <col min="9" max="9" width="10.7109375" style="458" customWidth="1"/>
    <col min="10" max="10" width="3.42578125" style="458" customWidth="1"/>
    <col min="11" max="16384" width="9.140625" style="458"/>
  </cols>
  <sheetData>
    <row r="1" spans="1:12" hidden="1"/>
    <row r="2" spans="1:12" hidden="1"/>
    <row r="3" spans="1:12" hidden="1">
      <c r="A3" s="754"/>
      <c r="B3" s="754"/>
      <c r="C3" s="754"/>
      <c r="D3" s="754"/>
      <c r="E3" s="754"/>
      <c r="F3" s="754"/>
      <c r="G3" s="754"/>
      <c r="H3" s="754"/>
      <c r="I3" s="754"/>
    </row>
    <row r="4" spans="1:12" ht="19.5" hidden="1">
      <c r="A4" s="755"/>
      <c r="B4" s="755"/>
      <c r="C4" s="755"/>
      <c r="D4" s="755"/>
      <c r="E4" s="755"/>
      <c r="F4" s="755"/>
      <c r="G4" s="755"/>
      <c r="H4" s="755"/>
      <c r="I4" s="755"/>
    </row>
    <row r="5" spans="1:12" ht="17.25" thickBot="1"/>
    <row r="6" spans="1:12" s="460" customFormat="1" ht="18">
      <c r="A6" s="639"/>
      <c r="B6" s="640"/>
      <c r="C6" s="640"/>
      <c r="D6" s="892" t="s">
        <v>3287</v>
      </c>
      <c r="E6" s="892"/>
      <c r="F6" s="892"/>
      <c r="G6" s="892"/>
      <c r="H6" s="640"/>
      <c r="I6" s="641"/>
    </row>
    <row r="7" spans="1:12" s="460" customFormat="1" ht="17.25" thickBot="1">
      <c r="A7" s="642"/>
      <c r="B7" s="643"/>
      <c r="C7" s="643"/>
      <c r="D7" s="893" t="str">
        <f ca="1">IF(ID_CONDICION_AUTO=1,"Autos Nuevos",IF(ID_CONDICION_AUTO=2,"Autos Seminuevos",""))</f>
        <v>Autos Nuevos</v>
      </c>
      <c r="E7" s="893"/>
      <c r="F7" s="893"/>
      <c r="G7" s="893"/>
      <c r="H7" s="643"/>
      <c r="I7" s="644"/>
    </row>
    <row r="8" spans="1:12" s="460" customFormat="1" ht="17.25" thickBot="1"/>
    <row r="9" spans="1:12" s="460" customFormat="1" ht="15" customHeight="1">
      <c r="A9" s="727" t="s">
        <v>3288</v>
      </c>
      <c r="B9" s="728"/>
      <c r="C9" s="729">
        <f ca="1">ValorFactura</f>
        <v>250000</v>
      </c>
      <c r="D9" s="730"/>
      <c r="E9" s="728"/>
      <c r="F9" s="728"/>
      <c r="G9" s="731" t="s">
        <v>1762</v>
      </c>
      <c r="H9" s="732">
        <f>CapturaFechaCotizacion</f>
        <v>42181</v>
      </c>
      <c r="I9" s="733"/>
    </row>
    <row r="10" spans="1:12" s="460" customFormat="1" ht="15" customHeight="1">
      <c r="A10" s="734" t="s">
        <v>1687</v>
      </c>
      <c r="B10" s="735"/>
      <c r="C10" s="736">
        <f ca="1">MontoEnganche</f>
        <v>25000</v>
      </c>
      <c r="D10" s="735"/>
      <c r="E10" s="735" t="str">
        <f ca="1">LeyendaAportacionAdicional</f>
        <v/>
      </c>
      <c r="F10" s="735"/>
      <c r="G10" s="735"/>
      <c r="H10" s="735"/>
      <c r="I10" s="737"/>
    </row>
    <row r="11" spans="1:12" s="460" customFormat="1" ht="15" customHeight="1">
      <c r="A11" s="734" t="s">
        <v>3289</v>
      </c>
      <c r="B11" s="735"/>
      <c r="C11" s="736">
        <f ca="1">MontoFinanciarAuto</f>
        <v>225000</v>
      </c>
      <c r="D11" s="738" t="str">
        <f ca="1">Leyenda.Seguro.1_tabla_amortizacion</f>
        <v/>
      </c>
      <c r="E11" s="735"/>
      <c r="F11" s="735"/>
      <c r="G11" s="735"/>
      <c r="H11" s="735"/>
      <c r="I11" s="737"/>
      <c r="L11" s="753"/>
    </row>
    <row r="12" spans="1:12" s="460" customFormat="1" ht="15" customHeight="1">
      <c r="A12" s="734" t="s">
        <v>5103</v>
      </c>
      <c r="B12" s="735"/>
      <c r="C12" s="736">
        <f>MontoGtiaExt</f>
        <v>10000</v>
      </c>
      <c r="D12" s="739">
        <v>11243.62</v>
      </c>
      <c r="E12" s="735"/>
      <c r="F12" s="735"/>
      <c r="G12" s="735"/>
      <c r="H12" s="735"/>
      <c r="I12" s="737"/>
    </row>
    <row r="13" spans="1:12" ht="15" customHeight="1">
      <c r="A13" s="734" t="s">
        <v>3290</v>
      </c>
      <c r="B13" s="735"/>
      <c r="C13" s="899" t="s">
        <v>1619</v>
      </c>
      <c r="D13" s="900"/>
      <c r="E13" s="735"/>
      <c r="F13" s="735"/>
      <c r="G13" s="740" t="s">
        <v>3284</v>
      </c>
      <c r="H13" s="741">
        <f ca="1">TasaInteres</f>
        <v>0.129</v>
      </c>
      <c r="I13" s="737"/>
    </row>
    <row r="14" spans="1:12" ht="27.95" customHeight="1">
      <c r="A14" s="894" t="s">
        <v>3293</v>
      </c>
      <c r="B14" s="895"/>
      <c r="C14" s="899" t="s">
        <v>1706</v>
      </c>
      <c r="D14" s="899"/>
      <c r="E14" s="742"/>
      <c r="F14" s="735"/>
      <c r="G14" s="743" t="s">
        <v>1763</v>
      </c>
      <c r="H14" s="744">
        <f ca="1">CAT!CAT</f>
        <v>0.3206323313179702</v>
      </c>
      <c r="I14" s="745" t="s">
        <v>1764</v>
      </c>
    </row>
    <row r="15" spans="1:12" ht="15" customHeight="1">
      <c r="A15" s="894" t="s">
        <v>3291</v>
      </c>
      <c r="B15" s="895"/>
      <c r="C15" s="735" t="str">
        <f>SELECCION_TIPO_PERSONA</f>
        <v>Física</v>
      </c>
      <c r="D15" s="742"/>
      <c r="E15" s="742"/>
      <c r="F15" s="735"/>
      <c r="G15" s="740" t="s">
        <v>1766</v>
      </c>
      <c r="H15" s="746">
        <f ca="1">NumeroDePagos-H16</f>
        <v>0</v>
      </c>
      <c r="I15" s="737"/>
    </row>
    <row r="16" spans="1:12" ht="15" customHeight="1" thickBot="1">
      <c r="A16" s="756" t="s">
        <v>3292</v>
      </c>
      <c r="B16" s="747"/>
      <c r="C16" s="537" t="s">
        <v>3285</v>
      </c>
      <c r="D16" s="748" t="str">
        <f ca="1">Leyenda.Seguro.2</f>
        <v/>
      </c>
      <c r="E16" s="749"/>
      <c r="F16" s="747"/>
      <c r="G16" s="750" t="s">
        <v>1767</v>
      </c>
      <c r="H16" s="751">
        <f ca="1">MIN(COUNTIF(C20:C79,"&lt;&gt;0"),NumeroDePagos)</f>
        <v>12</v>
      </c>
      <c r="I16" s="752"/>
    </row>
    <row r="17" spans="1:9" ht="17.25" thickBot="1">
      <c r="A17" s="726"/>
      <c r="B17" s="724"/>
      <c r="C17" s="724"/>
      <c r="D17" s="724"/>
      <c r="E17" s="725"/>
      <c r="F17" s="724"/>
      <c r="G17" s="724"/>
      <c r="H17" s="724"/>
      <c r="I17" s="724"/>
    </row>
    <row r="18" spans="1:9" s="539" customFormat="1" ht="15" customHeight="1" thickBot="1">
      <c r="A18" s="901" t="s">
        <v>3286</v>
      </c>
      <c r="B18" s="902"/>
      <c r="C18" s="902"/>
      <c r="D18" s="902"/>
      <c r="E18" s="903"/>
      <c r="F18" s="902"/>
      <c r="G18" s="902"/>
      <c r="H18" s="902"/>
      <c r="I18" s="904"/>
    </row>
    <row r="19" spans="1:9" ht="27">
      <c r="A19" s="519" t="s">
        <v>1758</v>
      </c>
      <c r="B19" s="519" t="s">
        <v>1759</v>
      </c>
      <c r="C19" s="519" t="s">
        <v>1699</v>
      </c>
      <c r="D19" s="519" t="s">
        <v>1760</v>
      </c>
      <c r="E19" s="519" t="s">
        <v>1701</v>
      </c>
      <c r="F19" s="519" t="s">
        <v>1761</v>
      </c>
      <c r="G19" s="519" t="s">
        <v>1702</v>
      </c>
      <c r="H19" s="519" t="s">
        <v>10534</v>
      </c>
      <c r="I19" s="519" t="s">
        <v>1703</v>
      </c>
    </row>
    <row r="20" spans="1:9" ht="15" customHeight="1">
      <c r="A20" s="525">
        <v>1</v>
      </c>
      <c r="B20" s="526">
        <f>INDEX(Fechas_Pago,$A20)</f>
        <v>42201</v>
      </c>
      <c r="C20" s="527">
        <f ca="1">T_Merger!L20</f>
        <v>235000</v>
      </c>
      <c r="D20" s="527">
        <f ca="1">T_Merger!M20</f>
        <v>18320.140739259037</v>
      </c>
      <c r="E20" s="527">
        <f ca="1">T_Merger!P20</f>
        <v>1684.1666666666665</v>
      </c>
      <c r="F20" s="527">
        <f ca="1">T_Merger!Q20</f>
        <v>202.09999999999997</v>
      </c>
      <c r="G20" s="527">
        <f ca="1">T_Merger!R20</f>
        <v>20206.41</v>
      </c>
      <c r="H20" s="687">
        <v>0</v>
      </c>
      <c r="I20" s="528">
        <f ca="1">T_Merger!T20</f>
        <v>216679.85926074095</v>
      </c>
    </row>
    <row r="21" spans="1:9" ht="15" customHeight="1">
      <c r="A21" s="529">
        <v>2</v>
      </c>
      <c r="B21" s="530">
        <f>INDEX(Fechas_Pago,$A21)</f>
        <v>42232</v>
      </c>
      <c r="C21" s="531">
        <f ca="1">T_Merger!L21</f>
        <v>216679.85926074095</v>
      </c>
      <c r="D21" s="531">
        <f ca="1">T_Merger!M21</f>
        <v>18540.715233759718</v>
      </c>
      <c r="E21" s="531">
        <f ca="1">T_Merger!P21</f>
        <v>2329.3084870529656</v>
      </c>
      <c r="F21" s="531">
        <f ca="1">T_Merger!Q21</f>
        <v>279.51701844635585</v>
      </c>
      <c r="G21" s="531">
        <f ca="1">T_Merger!R21</f>
        <v>21149.54</v>
      </c>
      <c r="H21" s="688">
        <v>0</v>
      </c>
      <c r="I21" s="532">
        <f ca="1">T_Merger!T21</f>
        <v>198139.14402698123</v>
      </c>
    </row>
    <row r="22" spans="1:9" ht="15" customHeight="1">
      <c r="A22" s="529">
        <v>3</v>
      </c>
      <c r="B22" s="530">
        <f>INDEX(Fechas_Pago,$A22)</f>
        <v>42263</v>
      </c>
      <c r="C22" s="531">
        <f ca="1">T_Merger!L22</f>
        <v>198139.14402698123</v>
      </c>
      <c r="D22" s="531">
        <f ca="1">T_Merger!M22</f>
        <v>18763.945445174184</v>
      </c>
      <c r="E22" s="531">
        <f ca="1">T_Merger!P22</f>
        <v>2129.9957982900482</v>
      </c>
      <c r="F22" s="531">
        <f ca="1">T_Merger!Q22</f>
        <v>255.59949579480579</v>
      </c>
      <c r="G22" s="531">
        <f ca="1">T_Merger!R22</f>
        <v>21149.54</v>
      </c>
      <c r="H22" s="688">
        <v>0</v>
      </c>
      <c r="I22" s="532">
        <f ca="1">T_Merger!T22</f>
        <v>179375.19858180705</v>
      </c>
    </row>
    <row r="23" spans="1:9" ht="15" customHeight="1">
      <c r="A23" s="529">
        <v>4</v>
      </c>
      <c r="B23" s="530">
        <f>INDEX(Fechas_Pago,$A23)</f>
        <v>42293</v>
      </c>
      <c r="C23" s="531">
        <f ca="1">T_Merger!L23</f>
        <v>179375.19858180705</v>
      </c>
      <c r="D23" s="531">
        <f ca="1">T_Merger!M23</f>
        <v>18989.863348334082</v>
      </c>
      <c r="E23" s="531">
        <f ca="1">T_Merger!P23</f>
        <v>1928.2833847544257</v>
      </c>
      <c r="F23" s="531">
        <f ca="1">T_Merger!Q23</f>
        <v>231.39400617053107</v>
      </c>
      <c r="G23" s="531">
        <f ca="1">T_Merger!R23</f>
        <v>21149.54</v>
      </c>
      <c r="H23" s="688">
        <v>0</v>
      </c>
      <c r="I23" s="532">
        <f ca="1">T_Merger!T23</f>
        <v>160385.33523347299</v>
      </c>
    </row>
    <row r="24" spans="1:9">
      <c r="A24" s="529">
        <v>5</v>
      </c>
      <c r="B24" s="530">
        <f>INDEX(Fechas_Pago,$A24)</f>
        <v>42324</v>
      </c>
      <c r="C24" s="531">
        <f ca="1">T_Merger!L24</f>
        <v>160385.33523347299</v>
      </c>
      <c r="D24" s="531">
        <f ca="1">T_Merger!M24</f>
        <v>19218.501303048022</v>
      </c>
      <c r="E24" s="531">
        <f ca="1">T_Merger!P24</f>
        <v>1724.1423537598346</v>
      </c>
      <c r="F24" s="531">
        <f ca="1">T_Merger!Q24</f>
        <v>206.89708245118015</v>
      </c>
      <c r="G24" s="531">
        <f ca="1">T_Merger!R24</f>
        <v>21149.54</v>
      </c>
      <c r="H24" s="688">
        <v>0</v>
      </c>
      <c r="I24" s="532">
        <f ca="1">T_Merger!T24</f>
        <v>141166.83393042497</v>
      </c>
    </row>
    <row r="25" spans="1:9">
      <c r="A25" s="529">
        <v>6</v>
      </c>
      <c r="B25" s="530">
        <f>INDEX(Fechas_Pago,$A25)</f>
        <v>42354</v>
      </c>
      <c r="C25" s="531">
        <f ca="1">T_Merger!L25</f>
        <v>141166.83393042497</v>
      </c>
      <c r="D25" s="531">
        <f ca="1">T_Merger!M25</f>
        <v>19449.892058736721</v>
      </c>
      <c r="E25" s="531">
        <f ca="1">T_Merger!P25</f>
        <v>1517.5434647520683</v>
      </c>
      <c r="F25" s="531">
        <f ca="1">T_Merger!Q25</f>
        <v>182.10521577024818</v>
      </c>
      <c r="G25" s="531">
        <f ca="1">T_Merger!R25</f>
        <v>21149.54</v>
      </c>
      <c r="H25" s="688">
        <v>0</v>
      </c>
      <c r="I25" s="532">
        <f ca="1">T_Merger!T25</f>
        <v>121716.94187168825</v>
      </c>
    </row>
    <row r="26" spans="1:9">
      <c r="A26" s="529">
        <v>7</v>
      </c>
      <c r="B26" s="530">
        <f>INDEX(Fechas_Pago,$A26)</f>
        <v>42385</v>
      </c>
      <c r="C26" s="531">
        <f ca="1">T_Merger!L26</f>
        <v>121716.94187168825</v>
      </c>
      <c r="D26" s="531">
        <f ca="1">T_Merger!M26</f>
        <v>19684.068759123911</v>
      </c>
      <c r="E26" s="531">
        <f ca="1">T_Merger!P26</f>
        <v>1308.4571251206487</v>
      </c>
      <c r="F26" s="531">
        <f ca="1">T_Merger!Q26</f>
        <v>157.01485501447783</v>
      </c>
      <c r="G26" s="531">
        <f ca="1">T_Merger!R26</f>
        <v>21149.54</v>
      </c>
      <c r="H26" s="688">
        <v>0</v>
      </c>
      <c r="I26" s="532">
        <f ca="1">T_Merger!T26</f>
        <v>102032.87311256434</v>
      </c>
    </row>
    <row r="27" spans="1:9">
      <c r="A27" s="529">
        <v>8</v>
      </c>
      <c r="B27" s="530">
        <f>INDEX(Fechas_Pago,$A27)</f>
        <v>42416</v>
      </c>
      <c r="C27" s="531">
        <f ca="1">T_Merger!L27</f>
        <v>102032.87311256434</v>
      </c>
      <c r="D27" s="531">
        <f ca="1">T_Merger!M27</f>
        <v>19921.064946983763</v>
      </c>
      <c r="E27" s="531">
        <f ca="1">T_Merger!P27</f>
        <v>1096.8533859600666</v>
      </c>
      <c r="F27" s="531">
        <f ca="1">T_Merger!Q27</f>
        <v>131.622406315208</v>
      </c>
      <c r="G27" s="531">
        <f ca="1">T_Merger!R27</f>
        <v>21149.54</v>
      </c>
      <c r="H27" s="688">
        <v>0</v>
      </c>
      <c r="I27" s="532">
        <f ca="1">T_Merger!T27</f>
        <v>82111.808165580573</v>
      </c>
    </row>
    <row r="28" spans="1:9">
      <c r="A28" s="529">
        <v>9</v>
      </c>
      <c r="B28" s="530">
        <f>INDEX(Fechas_Pago,$A28)</f>
        <v>42445</v>
      </c>
      <c r="C28" s="531">
        <f ca="1">T_Merger!L28</f>
        <v>82111.808165580573</v>
      </c>
      <c r="D28" s="531">
        <f ca="1">T_Merger!M28</f>
        <v>20160.914568945449</v>
      </c>
      <c r="E28" s="531">
        <f ca="1">T_Merger!P28</f>
        <v>882.70193777999111</v>
      </c>
      <c r="F28" s="531">
        <f ca="1">T_Merger!Q28</f>
        <v>105.92423253359892</v>
      </c>
      <c r="G28" s="531">
        <f ca="1">T_Merger!R28</f>
        <v>21149.54</v>
      </c>
      <c r="H28" s="688">
        <v>0</v>
      </c>
      <c r="I28" s="532">
        <f ca="1">T_Merger!T28</f>
        <v>61950.893596635127</v>
      </c>
    </row>
    <row r="29" spans="1:9">
      <c r="A29" s="529">
        <v>10</v>
      </c>
      <c r="B29" s="530">
        <f>INDEX(Fechas_Pago,$A29)</f>
        <v>42476</v>
      </c>
      <c r="C29" s="531">
        <f ca="1">T_Merger!L29</f>
        <v>61950.893596635127</v>
      </c>
      <c r="D29" s="531">
        <f ca="1">T_Merger!M29</f>
        <v>20403.651980355553</v>
      </c>
      <c r="E29" s="531">
        <f ca="1">T_Merger!P29</f>
        <v>665.97210616382756</v>
      </c>
      <c r="F29" s="531">
        <f ca="1">T_Merger!Q29</f>
        <v>79.916652739659298</v>
      </c>
      <c r="G29" s="531">
        <f ca="1">T_Merger!R29</f>
        <v>21149.54</v>
      </c>
      <c r="H29" s="688">
        <v>0</v>
      </c>
      <c r="I29" s="532">
        <f ca="1">T_Merger!T29</f>
        <v>41547.241616279571</v>
      </c>
    </row>
    <row r="30" spans="1:9">
      <c r="A30" s="529">
        <v>11</v>
      </c>
      <c r="B30" s="530">
        <f>INDEX(Fechas_Pago,$A30)</f>
        <v>42506</v>
      </c>
      <c r="C30" s="531">
        <f ca="1">T_Merger!L30</f>
        <v>41547.241616279571</v>
      </c>
      <c r="D30" s="531">
        <f ca="1">T_Merger!M30</f>
        <v>20649.311950199033</v>
      </c>
      <c r="E30" s="531">
        <f ca="1">T_Merger!P30</f>
        <v>446.63284737500538</v>
      </c>
      <c r="F30" s="531">
        <f ca="1">T_Merger!Q30</f>
        <v>53.595941685000646</v>
      </c>
      <c r="G30" s="531">
        <f ca="1">T_Merger!R30</f>
        <v>21149.54</v>
      </c>
      <c r="H30" s="688">
        <v>0</v>
      </c>
      <c r="I30" s="532">
        <f ca="1">T_Merger!T30</f>
        <v>20897.929666080538</v>
      </c>
    </row>
    <row r="31" spans="1:9">
      <c r="A31" s="533">
        <v>12</v>
      </c>
      <c r="B31" s="534">
        <f>INDEX(Fechas_Pago,$A31)</f>
        <v>42537</v>
      </c>
      <c r="C31" s="535">
        <f ca="1">T_Merger!L31</f>
        <v>20897.929666080538</v>
      </c>
      <c r="D31" s="535">
        <f ca="1">T_Merger!M31</f>
        <v>20897.929666080538</v>
      </c>
      <c r="E31" s="535">
        <f ca="1">T_Merger!P31</f>
        <v>224.65274391036579</v>
      </c>
      <c r="F31" s="535">
        <f ca="1">T_Merger!Q31</f>
        <v>26.958329269243894</v>
      </c>
      <c r="G31" s="535">
        <f ca="1">T_Merger!R31</f>
        <v>21149.54</v>
      </c>
      <c r="H31" s="689">
        <v>0</v>
      </c>
      <c r="I31" s="536">
        <f ca="1">T_Merger!T31</f>
        <v>0</v>
      </c>
    </row>
    <row r="32" spans="1:9" hidden="1">
      <c r="A32" s="529">
        <v>13</v>
      </c>
      <c r="B32" s="530">
        <f>INDEX(Fechas_Pago,$A32)</f>
        <v>42567</v>
      </c>
      <c r="C32" s="531">
        <f ca="1">T_Merger!L32</f>
        <v>0</v>
      </c>
      <c r="D32" s="531">
        <f ca="1">T_Merger!M32</f>
        <v>0</v>
      </c>
      <c r="E32" s="531">
        <f ca="1">T_Merger!P32</f>
        <v>0</v>
      </c>
      <c r="F32" s="531">
        <f ca="1">T_Merger!Q32</f>
        <v>0</v>
      </c>
      <c r="G32" s="531">
        <f ca="1">T_Merger!R32</f>
        <v>0</v>
      </c>
      <c r="H32" s="688">
        <v>0</v>
      </c>
      <c r="I32" s="532">
        <f ca="1">T_Merger!T32</f>
        <v>0</v>
      </c>
    </row>
    <row r="33" spans="1:9" hidden="1">
      <c r="A33" s="529">
        <v>14</v>
      </c>
      <c r="B33" s="530">
        <f>INDEX(Fechas_Pago,$A33)</f>
        <v>42598</v>
      </c>
      <c r="C33" s="531">
        <f ca="1">T_Merger!L33</f>
        <v>0</v>
      </c>
      <c r="D33" s="531">
        <f ca="1">T_Merger!M33</f>
        <v>0</v>
      </c>
      <c r="E33" s="531">
        <f ca="1">T_Merger!P33</f>
        <v>0</v>
      </c>
      <c r="F33" s="531">
        <f ca="1">T_Merger!Q33</f>
        <v>0</v>
      </c>
      <c r="G33" s="531">
        <f ca="1">T_Merger!R33</f>
        <v>0</v>
      </c>
      <c r="H33" s="688">
        <v>0</v>
      </c>
      <c r="I33" s="532">
        <f ca="1">T_Merger!T33</f>
        <v>0</v>
      </c>
    </row>
    <row r="34" spans="1:9" hidden="1">
      <c r="A34" s="529">
        <v>15</v>
      </c>
      <c r="B34" s="530">
        <f>INDEX(Fechas_Pago,$A34)</f>
        <v>42629</v>
      </c>
      <c r="C34" s="531">
        <f ca="1">T_Merger!L34</f>
        <v>0</v>
      </c>
      <c r="D34" s="531">
        <f ca="1">T_Merger!M34</f>
        <v>0</v>
      </c>
      <c r="E34" s="531">
        <f ca="1">T_Merger!P34</f>
        <v>0</v>
      </c>
      <c r="F34" s="531">
        <f ca="1">T_Merger!Q34</f>
        <v>0</v>
      </c>
      <c r="G34" s="531">
        <f ca="1">T_Merger!R34</f>
        <v>0</v>
      </c>
      <c r="H34" s="688">
        <v>0</v>
      </c>
      <c r="I34" s="532">
        <f ca="1">T_Merger!T34</f>
        <v>0</v>
      </c>
    </row>
    <row r="35" spans="1:9" hidden="1">
      <c r="A35" s="529">
        <v>16</v>
      </c>
      <c r="B35" s="530">
        <f>INDEX(Fechas_Pago,$A35)</f>
        <v>42659</v>
      </c>
      <c r="C35" s="531">
        <f ca="1">T_Merger!L35</f>
        <v>0</v>
      </c>
      <c r="D35" s="531">
        <f ca="1">T_Merger!M35</f>
        <v>0</v>
      </c>
      <c r="E35" s="531">
        <f ca="1">T_Merger!P35</f>
        <v>0</v>
      </c>
      <c r="F35" s="531">
        <f ca="1">T_Merger!Q35</f>
        <v>0</v>
      </c>
      <c r="G35" s="531">
        <f ca="1">T_Merger!R35</f>
        <v>0</v>
      </c>
      <c r="H35" s="688">
        <v>0</v>
      </c>
      <c r="I35" s="532">
        <f ca="1">T_Merger!T35</f>
        <v>0</v>
      </c>
    </row>
    <row r="36" spans="1:9" hidden="1">
      <c r="A36" s="529">
        <v>17</v>
      </c>
      <c r="B36" s="530">
        <f>INDEX(Fechas_Pago,$A36)</f>
        <v>42690</v>
      </c>
      <c r="C36" s="531">
        <f ca="1">T_Merger!L36</f>
        <v>0</v>
      </c>
      <c r="D36" s="531">
        <f ca="1">T_Merger!M36</f>
        <v>0</v>
      </c>
      <c r="E36" s="531">
        <f ca="1">T_Merger!P36</f>
        <v>0</v>
      </c>
      <c r="F36" s="531">
        <f ca="1">T_Merger!Q36</f>
        <v>0</v>
      </c>
      <c r="G36" s="531">
        <f ca="1">T_Merger!R36</f>
        <v>0</v>
      </c>
      <c r="H36" s="688">
        <v>0</v>
      </c>
      <c r="I36" s="532">
        <f ca="1">T_Merger!T36</f>
        <v>0</v>
      </c>
    </row>
    <row r="37" spans="1:9" hidden="1">
      <c r="A37" s="529">
        <v>18</v>
      </c>
      <c r="B37" s="530">
        <f>INDEX(Fechas_Pago,$A37)</f>
        <v>42720</v>
      </c>
      <c r="C37" s="531">
        <f ca="1">T_Merger!L37</f>
        <v>0</v>
      </c>
      <c r="D37" s="531">
        <f ca="1">T_Merger!M37</f>
        <v>0</v>
      </c>
      <c r="E37" s="531">
        <f ca="1">T_Merger!P37</f>
        <v>0</v>
      </c>
      <c r="F37" s="531">
        <f ca="1">T_Merger!Q37</f>
        <v>0</v>
      </c>
      <c r="G37" s="531">
        <f ca="1">T_Merger!R37</f>
        <v>0</v>
      </c>
      <c r="H37" s="688">
        <v>0</v>
      </c>
      <c r="I37" s="532">
        <f ca="1">T_Merger!T37</f>
        <v>0</v>
      </c>
    </row>
    <row r="38" spans="1:9" hidden="1">
      <c r="A38" s="529">
        <v>19</v>
      </c>
      <c r="B38" s="530">
        <f>INDEX(Fechas_Pago,$A38)</f>
        <v>42751</v>
      </c>
      <c r="C38" s="531">
        <f ca="1">T_Merger!L38</f>
        <v>0</v>
      </c>
      <c r="D38" s="531">
        <f ca="1">T_Merger!M38</f>
        <v>0</v>
      </c>
      <c r="E38" s="531">
        <f ca="1">T_Merger!P38</f>
        <v>0</v>
      </c>
      <c r="F38" s="531">
        <f ca="1">T_Merger!Q38</f>
        <v>0</v>
      </c>
      <c r="G38" s="531">
        <f ca="1">T_Merger!R38</f>
        <v>0</v>
      </c>
      <c r="H38" s="688">
        <v>0</v>
      </c>
      <c r="I38" s="532">
        <f ca="1">T_Merger!T38</f>
        <v>0</v>
      </c>
    </row>
    <row r="39" spans="1:9" hidden="1">
      <c r="A39" s="529">
        <v>20</v>
      </c>
      <c r="B39" s="530">
        <f>INDEX(Fechas_Pago,$A39)</f>
        <v>42782</v>
      </c>
      <c r="C39" s="531">
        <f ca="1">T_Merger!L39</f>
        <v>0</v>
      </c>
      <c r="D39" s="531">
        <f ca="1">T_Merger!M39</f>
        <v>0</v>
      </c>
      <c r="E39" s="531">
        <f ca="1">T_Merger!P39</f>
        <v>0</v>
      </c>
      <c r="F39" s="531">
        <f ca="1">T_Merger!Q39</f>
        <v>0</v>
      </c>
      <c r="G39" s="531">
        <f ca="1">T_Merger!R39</f>
        <v>0</v>
      </c>
      <c r="H39" s="688">
        <v>0</v>
      </c>
      <c r="I39" s="532">
        <f ca="1">T_Merger!T39</f>
        <v>0</v>
      </c>
    </row>
    <row r="40" spans="1:9" hidden="1">
      <c r="A40" s="529">
        <v>21</v>
      </c>
      <c r="B40" s="530">
        <f>INDEX(Fechas_Pago,$A40)</f>
        <v>42810</v>
      </c>
      <c r="C40" s="531">
        <f ca="1">T_Merger!L40</f>
        <v>0</v>
      </c>
      <c r="D40" s="531">
        <f ca="1">T_Merger!M40</f>
        <v>0</v>
      </c>
      <c r="E40" s="531">
        <f ca="1">T_Merger!P40</f>
        <v>0</v>
      </c>
      <c r="F40" s="531">
        <f ca="1">T_Merger!Q40</f>
        <v>0</v>
      </c>
      <c r="G40" s="531">
        <f ca="1">T_Merger!R40</f>
        <v>0</v>
      </c>
      <c r="H40" s="688">
        <v>0</v>
      </c>
      <c r="I40" s="532">
        <f ca="1">T_Merger!T40</f>
        <v>0</v>
      </c>
    </row>
    <row r="41" spans="1:9" hidden="1">
      <c r="A41" s="529">
        <v>22</v>
      </c>
      <c r="B41" s="530">
        <f>INDEX(Fechas_Pago,$A41)</f>
        <v>42841</v>
      </c>
      <c r="C41" s="531">
        <f ca="1">T_Merger!L41</f>
        <v>0</v>
      </c>
      <c r="D41" s="531">
        <f ca="1">T_Merger!M41</f>
        <v>0</v>
      </c>
      <c r="E41" s="531">
        <f ca="1">T_Merger!P41</f>
        <v>0</v>
      </c>
      <c r="F41" s="531">
        <f ca="1">T_Merger!Q41</f>
        <v>0</v>
      </c>
      <c r="G41" s="531">
        <f ca="1">T_Merger!R41</f>
        <v>0</v>
      </c>
      <c r="H41" s="688">
        <v>0</v>
      </c>
      <c r="I41" s="532">
        <f ca="1">T_Merger!T41</f>
        <v>0</v>
      </c>
    </row>
    <row r="42" spans="1:9" hidden="1">
      <c r="A42" s="529">
        <v>23</v>
      </c>
      <c r="B42" s="530">
        <f>INDEX(Fechas_Pago,$A42)</f>
        <v>42871</v>
      </c>
      <c r="C42" s="531">
        <f ca="1">T_Merger!L42</f>
        <v>0</v>
      </c>
      <c r="D42" s="531">
        <f ca="1">T_Merger!M42</f>
        <v>0</v>
      </c>
      <c r="E42" s="720">
        <f ca="1">T_Merger!P42</f>
        <v>0</v>
      </c>
      <c r="F42" s="531">
        <f ca="1">T_Merger!Q42</f>
        <v>0</v>
      </c>
      <c r="G42" s="531">
        <f ca="1">T_Merger!R42</f>
        <v>0</v>
      </c>
      <c r="H42" s="688">
        <v>0</v>
      </c>
      <c r="I42" s="532">
        <f ca="1">T_Merger!T42</f>
        <v>0</v>
      </c>
    </row>
    <row r="43" spans="1:9" hidden="1">
      <c r="A43" s="533">
        <v>24</v>
      </c>
      <c r="B43" s="534">
        <f>INDEX(Fechas_Pago,$A43)</f>
        <v>42902</v>
      </c>
      <c r="C43" s="535">
        <f ca="1">T_Merger!L43</f>
        <v>0</v>
      </c>
      <c r="D43" s="535">
        <f ca="1">T_Merger!M43</f>
        <v>0</v>
      </c>
      <c r="E43" s="721">
        <f ca="1">T_Merger!P43</f>
        <v>0</v>
      </c>
      <c r="F43" s="535">
        <f ca="1">T_Merger!Q43</f>
        <v>0</v>
      </c>
      <c r="G43" s="535">
        <f ca="1">T_Merger!R43</f>
        <v>0</v>
      </c>
      <c r="H43" s="689">
        <v>0</v>
      </c>
      <c r="I43" s="536">
        <f ca="1">T_Merger!T43</f>
        <v>0</v>
      </c>
    </row>
    <row r="44" spans="1:9" hidden="1">
      <c r="A44" s="529">
        <v>25</v>
      </c>
      <c r="B44" s="530">
        <f>INDEX(Fechas_Pago,$A44)</f>
        <v>42932</v>
      </c>
      <c r="C44" s="531">
        <f ca="1">T_Merger!L44</f>
        <v>0</v>
      </c>
      <c r="D44" s="531">
        <f ca="1">T_Merger!M44</f>
        <v>0</v>
      </c>
      <c r="E44" s="722">
        <f ca="1">T_Merger!P44</f>
        <v>0</v>
      </c>
      <c r="F44" s="531">
        <f ca="1">T_Merger!Q44</f>
        <v>0</v>
      </c>
      <c r="G44" s="531">
        <f ca="1">T_Merger!R44</f>
        <v>0</v>
      </c>
      <c r="H44" s="688">
        <v>0</v>
      </c>
      <c r="I44" s="532">
        <f ca="1">T_Merger!T44</f>
        <v>0</v>
      </c>
    </row>
    <row r="45" spans="1:9" hidden="1">
      <c r="A45" s="529">
        <v>26</v>
      </c>
      <c r="B45" s="530">
        <f>INDEX(Fechas_Pago,$A45)</f>
        <v>42963</v>
      </c>
      <c r="C45" s="531">
        <f ca="1">T_Merger!L45</f>
        <v>0</v>
      </c>
      <c r="D45" s="531">
        <f ca="1">T_Merger!M45</f>
        <v>0</v>
      </c>
      <c r="E45" s="722">
        <f ca="1">T_Merger!P45</f>
        <v>0</v>
      </c>
      <c r="F45" s="531">
        <f ca="1">T_Merger!Q45</f>
        <v>0</v>
      </c>
      <c r="G45" s="531">
        <f ca="1">T_Merger!R45</f>
        <v>0</v>
      </c>
      <c r="H45" s="688">
        <v>0</v>
      </c>
      <c r="I45" s="532">
        <f ca="1">T_Merger!T45</f>
        <v>0</v>
      </c>
    </row>
    <row r="46" spans="1:9" hidden="1">
      <c r="A46" s="529">
        <v>27</v>
      </c>
      <c r="B46" s="530">
        <f>INDEX(Fechas_Pago,$A46)</f>
        <v>42994</v>
      </c>
      <c r="C46" s="531">
        <f ca="1">T_Merger!L46</f>
        <v>0</v>
      </c>
      <c r="D46" s="531">
        <f ca="1">T_Merger!M46</f>
        <v>0</v>
      </c>
      <c r="E46" s="722">
        <f ca="1">T_Merger!P46</f>
        <v>0</v>
      </c>
      <c r="F46" s="531">
        <f ca="1">T_Merger!Q46</f>
        <v>0</v>
      </c>
      <c r="G46" s="531">
        <f ca="1">T_Merger!R46</f>
        <v>0</v>
      </c>
      <c r="H46" s="688">
        <v>0</v>
      </c>
      <c r="I46" s="532">
        <f ca="1">T_Merger!T46</f>
        <v>0</v>
      </c>
    </row>
    <row r="47" spans="1:9" hidden="1">
      <c r="A47" s="529">
        <v>28</v>
      </c>
      <c r="B47" s="530">
        <f>INDEX(Fechas_Pago,$A47)</f>
        <v>43024</v>
      </c>
      <c r="C47" s="531">
        <f ca="1">T_Merger!L47</f>
        <v>0</v>
      </c>
      <c r="D47" s="531">
        <f ca="1">T_Merger!M47</f>
        <v>0</v>
      </c>
      <c r="E47" s="722">
        <f ca="1">T_Merger!P47</f>
        <v>0</v>
      </c>
      <c r="F47" s="531">
        <f ca="1">T_Merger!Q47</f>
        <v>0</v>
      </c>
      <c r="G47" s="531">
        <f ca="1">T_Merger!R47</f>
        <v>0</v>
      </c>
      <c r="H47" s="688">
        <v>0</v>
      </c>
      <c r="I47" s="532">
        <f ca="1">T_Merger!T47</f>
        <v>0</v>
      </c>
    </row>
    <row r="48" spans="1:9" hidden="1">
      <c r="A48" s="529">
        <v>29</v>
      </c>
      <c r="B48" s="530">
        <f>INDEX(Fechas_Pago,$A48)</f>
        <v>43055</v>
      </c>
      <c r="C48" s="531">
        <f ca="1">T_Merger!L48</f>
        <v>0</v>
      </c>
      <c r="D48" s="531">
        <f ca="1">T_Merger!M48</f>
        <v>0</v>
      </c>
      <c r="E48" s="722">
        <f ca="1">T_Merger!P48</f>
        <v>0</v>
      </c>
      <c r="F48" s="531">
        <f ca="1">T_Merger!Q48</f>
        <v>0</v>
      </c>
      <c r="G48" s="531">
        <f ca="1">T_Merger!R48</f>
        <v>0</v>
      </c>
      <c r="H48" s="688">
        <v>0</v>
      </c>
      <c r="I48" s="532">
        <f ca="1">T_Merger!T48</f>
        <v>0</v>
      </c>
    </row>
    <row r="49" spans="1:9" hidden="1">
      <c r="A49" s="529">
        <v>30</v>
      </c>
      <c r="B49" s="530">
        <f>INDEX(Fechas_Pago,$A49)</f>
        <v>43085</v>
      </c>
      <c r="C49" s="531">
        <f ca="1">T_Merger!L49</f>
        <v>0</v>
      </c>
      <c r="D49" s="531">
        <f ca="1">T_Merger!M49</f>
        <v>0</v>
      </c>
      <c r="E49" s="722">
        <f ca="1">T_Merger!P49</f>
        <v>0</v>
      </c>
      <c r="F49" s="531">
        <f ca="1">T_Merger!Q49</f>
        <v>0</v>
      </c>
      <c r="G49" s="531">
        <f ca="1">T_Merger!R49</f>
        <v>0</v>
      </c>
      <c r="H49" s="688">
        <v>0</v>
      </c>
      <c r="I49" s="532">
        <f ca="1">T_Merger!T49</f>
        <v>0</v>
      </c>
    </row>
    <row r="50" spans="1:9" hidden="1">
      <c r="A50" s="529">
        <v>31</v>
      </c>
      <c r="B50" s="530">
        <f>INDEX(Fechas_Pago,$A50)</f>
        <v>43116</v>
      </c>
      <c r="C50" s="531">
        <f ca="1">T_Merger!L50</f>
        <v>0</v>
      </c>
      <c r="D50" s="531">
        <f ca="1">T_Merger!M50</f>
        <v>0</v>
      </c>
      <c r="E50" s="722">
        <f ca="1">T_Merger!P50</f>
        <v>0</v>
      </c>
      <c r="F50" s="531">
        <f ca="1">T_Merger!Q50</f>
        <v>0</v>
      </c>
      <c r="G50" s="531">
        <f ca="1">T_Merger!R50</f>
        <v>0</v>
      </c>
      <c r="H50" s="688">
        <v>0</v>
      </c>
      <c r="I50" s="532">
        <f ca="1">T_Merger!T50</f>
        <v>0</v>
      </c>
    </row>
    <row r="51" spans="1:9" hidden="1">
      <c r="A51" s="529">
        <v>32</v>
      </c>
      <c r="B51" s="530">
        <f>INDEX(Fechas_Pago,$A51)</f>
        <v>43147</v>
      </c>
      <c r="C51" s="531">
        <f ca="1">T_Merger!L51</f>
        <v>0</v>
      </c>
      <c r="D51" s="531">
        <f ca="1">T_Merger!M51</f>
        <v>0</v>
      </c>
      <c r="E51" s="722">
        <f ca="1">T_Merger!P51</f>
        <v>0</v>
      </c>
      <c r="F51" s="531">
        <f ca="1">T_Merger!Q51</f>
        <v>0</v>
      </c>
      <c r="G51" s="531">
        <f ca="1">T_Merger!R51</f>
        <v>0</v>
      </c>
      <c r="H51" s="688">
        <v>0</v>
      </c>
      <c r="I51" s="532">
        <f ca="1">T_Merger!T51</f>
        <v>0</v>
      </c>
    </row>
    <row r="52" spans="1:9" hidden="1">
      <c r="A52" s="529">
        <v>33</v>
      </c>
      <c r="B52" s="530">
        <f>INDEX(Fechas_Pago,$A52)</f>
        <v>43175</v>
      </c>
      <c r="C52" s="531">
        <f ca="1">T_Merger!L52</f>
        <v>0</v>
      </c>
      <c r="D52" s="531">
        <f ca="1">T_Merger!M52</f>
        <v>0</v>
      </c>
      <c r="E52" s="722">
        <f ca="1">T_Merger!P52</f>
        <v>0</v>
      </c>
      <c r="F52" s="531">
        <f ca="1">T_Merger!Q52</f>
        <v>0</v>
      </c>
      <c r="G52" s="531">
        <f ca="1">T_Merger!R52</f>
        <v>0</v>
      </c>
      <c r="H52" s="688">
        <v>0</v>
      </c>
      <c r="I52" s="532">
        <f ca="1">T_Merger!T52</f>
        <v>0</v>
      </c>
    </row>
    <row r="53" spans="1:9" hidden="1">
      <c r="A53" s="529">
        <v>34</v>
      </c>
      <c r="B53" s="530">
        <f>INDEX(Fechas_Pago,$A53)</f>
        <v>43206</v>
      </c>
      <c r="C53" s="531">
        <f ca="1">T_Merger!L53</f>
        <v>0</v>
      </c>
      <c r="D53" s="531">
        <f ca="1">T_Merger!M53</f>
        <v>0</v>
      </c>
      <c r="E53" s="722">
        <f ca="1">T_Merger!P53</f>
        <v>0</v>
      </c>
      <c r="F53" s="531">
        <f ca="1">T_Merger!Q53</f>
        <v>0</v>
      </c>
      <c r="G53" s="531">
        <f ca="1">T_Merger!R53</f>
        <v>0</v>
      </c>
      <c r="H53" s="688">
        <v>0</v>
      </c>
      <c r="I53" s="532">
        <f ca="1">T_Merger!T53</f>
        <v>0</v>
      </c>
    </row>
    <row r="54" spans="1:9" hidden="1">
      <c r="A54" s="529">
        <v>35</v>
      </c>
      <c r="B54" s="530">
        <f>INDEX(Fechas_Pago,$A54)</f>
        <v>43236</v>
      </c>
      <c r="C54" s="531">
        <f ca="1">T_Merger!L54</f>
        <v>0</v>
      </c>
      <c r="D54" s="531">
        <f ca="1">T_Merger!M54</f>
        <v>0</v>
      </c>
      <c r="E54" s="722">
        <f ca="1">T_Merger!P54</f>
        <v>0</v>
      </c>
      <c r="F54" s="531">
        <f ca="1">T_Merger!Q54</f>
        <v>0</v>
      </c>
      <c r="G54" s="531">
        <f ca="1">T_Merger!R54</f>
        <v>0</v>
      </c>
      <c r="H54" s="688">
        <v>0</v>
      </c>
      <c r="I54" s="532">
        <f ca="1">T_Merger!T54</f>
        <v>0</v>
      </c>
    </row>
    <row r="55" spans="1:9" hidden="1">
      <c r="A55" s="533">
        <v>36</v>
      </c>
      <c r="B55" s="534">
        <f>INDEX(Fechas_Pago,$A55)</f>
        <v>43267</v>
      </c>
      <c r="C55" s="535">
        <f ca="1">T_Merger!L55</f>
        <v>0</v>
      </c>
      <c r="D55" s="535">
        <f ca="1">T_Merger!M55</f>
        <v>0</v>
      </c>
      <c r="E55" s="721">
        <f ca="1">T_Merger!P55</f>
        <v>0</v>
      </c>
      <c r="F55" s="535">
        <f ca="1">T_Merger!Q55</f>
        <v>0</v>
      </c>
      <c r="G55" s="535">
        <f ca="1">T_Merger!R55</f>
        <v>0</v>
      </c>
      <c r="H55" s="689">
        <v>0</v>
      </c>
      <c r="I55" s="536">
        <f ca="1">T_Merger!T55</f>
        <v>0</v>
      </c>
    </row>
    <row r="56" spans="1:9" hidden="1">
      <c r="A56" s="529">
        <v>37</v>
      </c>
      <c r="B56" s="530">
        <f>INDEX(Fechas_Pago,$A56)</f>
        <v>43297</v>
      </c>
      <c r="C56" s="531">
        <f ca="1">T_Merger!L56</f>
        <v>0</v>
      </c>
      <c r="D56" s="531">
        <f ca="1">T_Merger!M56</f>
        <v>0</v>
      </c>
      <c r="E56" s="722">
        <f ca="1">T_Merger!P56</f>
        <v>0</v>
      </c>
      <c r="F56" s="531">
        <f ca="1">T_Merger!Q56</f>
        <v>0</v>
      </c>
      <c r="G56" s="531">
        <f ca="1">T_Merger!R56</f>
        <v>0</v>
      </c>
      <c r="H56" s="688">
        <v>0</v>
      </c>
      <c r="I56" s="532">
        <f ca="1">T_Merger!T56</f>
        <v>0</v>
      </c>
    </row>
    <row r="57" spans="1:9" hidden="1">
      <c r="A57" s="529">
        <v>38</v>
      </c>
      <c r="B57" s="530">
        <f>INDEX(Fechas_Pago,$A57)</f>
        <v>43328</v>
      </c>
      <c r="C57" s="531">
        <f ca="1">T_Merger!L57</f>
        <v>0</v>
      </c>
      <c r="D57" s="531">
        <f ca="1">T_Merger!M57</f>
        <v>0</v>
      </c>
      <c r="E57" s="722">
        <f ca="1">T_Merger!P57</f>
        <v>0</v>
      </c>
      <c r="F57" s="531">
        <f ca="1">T_Merger!Q57</f>
        <v>0</v>
      </c>
      <c r="G57" s="531">
        <f ca="1">T_Merger!R57</f>
        <v>0</v>
      </c>
      <c r="H57" s="688">
        <v>0</v>
      </c>
      <c r="I57" s="532">
        <f ca="1">T_Merger!T57</f>
        <v>0</v>
      </c>
    </row>
    <row r="58" spans="1:9" hidden="1">
      <c r="A58" s="529">
        <v>39</v>
      </c>
      <c r="B58" s="530">
        <f>INDEX(Fechas_Pago,$A58)</f>
        <v>43359</v>
      </c>
      <c r="C58" s="531">
        <f ca="1">T_Merger!L58</f>
        <v>0</v>
      </c>
      <c r="D58" s="531">
        <f ca="1">T_Merger!M58</f>
        <v>0</v>
      </c>
      <c r="E58" s="722">
        <f ca="1">T_Merger!P58</f>
        <v>0</v>
      </c>
      <c r="F58" s="531">
        <f ca="1">T_Merger!Q58</f>
        <v>0</v>
      </c>
      <c r="G58" s="531">
        <f ca="1">T_Merger!R58</f>
        <v>0</v>
      </c>
      <c r="H58" s="688">
        <v>0</v>
      </c>
      <c r="I58" s="532">
        <f ca="1">T_Merger!T58</f>
        <v>0</v>
      </c>
    </row>
    <row r="59" spans="1:9" hidden="1">
      <c r="A59" s="529">
        <v>40</v>
      </c>
      <c r="B59" s="530">
        <f>INDEX(Fechas_Pago,$A59)</f>
        <v>43389</v>
      </c>
      <c r="C59" s="531">
        <f ca="1">T_Merger!L59</f>
        <v>0</v>
      </c>
      <c r="D59" s="531">
        <f ca="1">T_Merger!M59</f>
        <v>0</v>
      </c>
      <c r="E59" s="722">
        <f ca="1">T_Merger!P59</f>
        <v>0</v>
      </c>
      <c r="F59" s="531">
        <f ca="1">T_Merger!Q59</f>
        <v>0</v>
      </c>
      <c r="G59" s="531">
        <f ca="1">T_Merger!R59</f>
        <v>0</v>
      </c>
      <c r="H59" s="688">
        <v>0</v>
      </c>
      <c r="I59" s="532">
        <f ca="1">T_Merger!T59</f>
        <v>0</v>
      </c>
    </row>
    <row r="60" spans="1:9" hidden="1">
      <c r="A60" s="529">
        <v>41</v>
      </c>
      <c r="B60" s="530">
        <f>INDEX(Fechas_Pago,$A60)</f>
        <v>43420</v>
      </c>
      <c r="C60" s="531">
        <f ca="1">T_Merger!L60</f>
        <v>0</v>
      </c>
      <c r="D60" s="531">
        <f ca="1">T_Merger!M60</f>
        <v>0</v>
      </c>
      <c r="E60" s="722">
        <f ca="1">T_Merger!P60</f>
        <v>0</v>
      </c>
      <c r="F60" s="531">
        <f ca="1">T_Merger!Q60</f>
        <v>0</v>
      </c>
      <c r="G60" s="531">
        <f ca="1">T_Merger!R60</f>
        <v>0</v>
      </c>
      <c r="H60" s="688">
        <v>0</v>
      </c>
      <c r="I60" s="532">
        <f ca="1">T_Merger!T60</f>
        <v>0</v>
      </c>
    </row>
    <row r="61" spans="1:9" hidden="1">
      <c r="A61" s="529">
        <v>42</v>
      </c>
      <c r="B61" s="530">
        <f>INDEX(Fechas_Pago,$A61)</f>
        <v>43450</v>
      </c>
      <c r="C61" s="531">
        <f ca="1">T_Merger!L61</f>
        <v>0</v>
      </c>
      <c r="D61" s="531">
        <f ca="1">T_Merger!M61</f>
        <v>0</v>
      </c>
      <c r="E61" s="722">
        <f ca="1">T_Merger!P61</f>
        <v>0</v>
      </c>
      <c r="F61" s="531">
        <f ca="1">T_Merger!Q61</f>
        <v>0</v>
      </c>
      <c r="G61" s="531">
        <f ca="1">T_Merger!R61</f>
        <v>0</v>
      </c>
      <c r="H61" s="688">
        <v>0</v>
      </c>
      <c r="I61" s="532">
        <f ca="1">T_Merger!T61</f>
        <v>0</v>
      </c>
    </row>
    <row r="62" spans="1:9" hidden="1">
      <c r="A62" s="529">
        <v>43</v>
      </c>
      <c r="B62" s="530">
        <f>INDEX(Fechas_Pago,$A62)</f>
        <v>43481</v>
      </c>
      <c r="C62" s="531">
        <f ca="1">T_Merger!L62</f>
        <v>0</v>
      </c>
      <c r="D62" s="531">
        <f ca="1">T_Merger!M62</f>
        <v>0</v>
      </c>
      <c r="E62" s="722">
        <f ca="1">T_Merger!P62</f>
        <v>0</v>
      </c>
      <c r="F62" s="531">
        <f ca="1">T_Merger!Q62</f>
        <v>0</v>
      </c>
      <c r="G62" s="531">
        <f ca="1">T_Merger!R62</f>
        <v>0</v>
      </c>
      <c r="H62" s="688">
        <v>0</v>
      </c>
      <c r="I62" s="532">
        <f ca="1">T_Merger!T62</f>
        <v>0</v>
      </c>
    </row>
    <row r="63" spans="1:9" hidden="1">
      <c r="A63" s="529">
        <v>44</v>
      </c>
      <c r="B63" s="530">
        <f>INDEX(Fechas_Pago,$A63)</f>
        <v>43512</v>
      </c>
      <c r="C63" s="531">
        <f ca="1">T_Merger!L63</f>
        <v>0</v>
      </c>
      <c r="D63" s="531">
        <f ca="1">T_Merger!M63</f>
        <v>0</v>
      </c>
      <c r="E63" s="722">
        <f ca="1">T_Merger!P63</f>
        <v>0</v>
      </c>
      <c r="F63" s="531">
        <f ca="1">T_Merger!Q63</f>
        <v>0</v>
      </c>
      <c r="G63" s="531">
        <f ca="1">T_Merger!R63</f>
        <v>0</v>
      </c>
      <c r="H63" s="688">
        <v>0</v>
      </c>
      <c r="I63" s="532">
        <f ca="1">T_Merger!T63</f>
        <v>0</v>
      </c>
    </row>
    <row r="64" spans="1:9" hidden="1">
      <c r="A64" s="529">
        <v>45</v>
      </c>
      <c r="B64" s="530">
        <f>INDEX(Fechas_Pago,$A64)</f>
        <v>43540</v>
      </c>
      <c r="C64" s="531">
        <f ca="1">T_Merger!L64</f>
        <v>0</v>
      </c>
      <c r="D64" s="531">
        <f ca="1">T_Merger!M64</f>
        <v>0</v>
      </c>
      <c r="E64" s="722">
        <f ca="1">T_Merger!P64</f>
        <v>0</v>
      </c>
      <c r="F64" s="531">
        <f ca="1">T_Merger!Q64</f>
        <v>0</v>
      </c>
      <c r="G64" s="531">
        <f ca="1">T_Merger!R64</f>
        <v>0</v>
      </c>
      <c r="H64" s="688">
        <v>0</v>
      </c>
      <c r="I64" s="532">
        <f ca="1">T_Merger!T64</f>
        <v>0</v>
      </c>
    </row>
    <row r="65" spans="1:10" hidden="1">
      <c r="A65" s="529">
        <v>46</v>
      </c>
      <c r="B65" s="530">
        <f>INDEX(Fechas_Pago,$A65)</f>
        <v>43571</v>
      </c>
      <c r="C65" s="531">
        <f ca="1">T_Merger!L65</f>
        <v>0</v>
      </c>
      <c r="D65" s="531">
        <f ca="1">T_Merger!M65</f>
        <v>0</v>
      </c>
      <c r="E65" s="722">
        <f ca="1">T_Merger!P65</f>
        <v>0</v>
      </c>
      <c r="F65" s="531">
        <f ca="1">T_Merger!Q65</f>
        <v>0</v>
      </c>
      <c r="G65" s="531">
        <f ca="1">T_Merger!R65</f>
        <v>0</v>
      </c>
      <c r="H65" s="688">
        <v>0</v>
      </c>
      <c r="I65" s="532">
        <f ca="1">T_Merger!T65</f>
        <v>0</v>
      </c>
    </row>
    <row r="66" spans="1:10" hidden="1">
      <c r="A66" s="529">
        <v>47</v>
      </c>
      <c r="B66" s="530">
        <f>INDEX(Fechas_Pago,$A66)</f>
        <v>43601</v>
      </c>
      <c r="C66" s="531">
        <f ca="1">T_Merger!L66</f>
        <v>0</v>
      </c>
      <c r="D66" s="531">
        <f ca="1">T_Merger!M66</f>
        <v>0</v>
      </c>
      <c r="E66" s="722">
        <f ca="1">T_Merger!P66</f>
        <v>0</v>
      </c>
      <c r="F66" s="531">
        <f ca="1">T_Merger!Q66</f>
        <v>0</v>
      </c>
      <c r="G66" s="531">
        <f ca="1">T_Merger!R66</f>
        <v>0</v>
      </c>
      <c r="H66" s="688">
        <v>0</v>
      </c>
      <c r="I66" s="532">
        <f ca="1">T_Merger!T66</f>
        <v>0</v>
      </c>
    </row>
    <row r="67" spans="1:10" hidden="1">
      <c r="A67" s="533">
        <v>48</v>
      </c>
      <c r="B67" s="534">
        <f>INDEX(Fechas_Pago,$A67)</f>
        <v>43632</v>
      </c>
      <c r="C67" s="535">
        <f ca="1">T_Merger!L67</f>
        <v>0</v>
      </c>
      <c r="D67" s="535">
        <f ca="1">T_Merger!M67</f>
        <v>0</v>
      </c>
      <c r="E67" s="721">
        <f ca="1">T_Merger!P67</f>
        <v>0</v>
      </c>
      <c r="F67" s="535">
        <f ca="1">T_Merger!Q67</f>
        <v>0</v>
      </c>
      <c r="G67" s="535">
        <f ca="1">T_Merger!R67</f>
        <v>0</v>
      </c>
      <c r="H67" s="689">
        <v>0</v>
      </c>
      <c r="I67" s="536">
        <f ca="1">T_Merger!T67</f>
        <v>0</v>
      </c>
    </row>
    <row r="68" spans="1:10" hidden="1">
      <c r="A68" s="529">
        <v>49</v>
      </c>
      <c r="B68" s="530">
        <f>INDEX(Fechas_Pago,$A68)</f>
        <v>43662</v>
      </c>
      <c r="C68" s="531">
        <f ca="1">T_Merger!L68</f>
        <v>0</v>
      </c>
      <c r="D68" s="531">
        <f ca="1">T_Merger!M68</f>
        <v>0</v>
      </c>
      <c r="E68" s="722">
        <f ca="1">T_Merger!P68</f>
        <v>0</v>
      </c>
      <c r="F68" s="531">
        <f ca="1">T_Merger!Q68</f>
        <v>0</v>
      </c>
      <c r="G68" s="531">
        <f ca="1">T_Merger!R68</f>
        <v>0</v>
      </c>
      <c r="H68" s="688">
        <v>0</v>
      </c>
      <c r="I68" s="532">
        <f ca="1">T_Merger!T68</f>
        <v>0</v>
      </c>
    </row>
    <row r="69" spans="1:10" hidden="1">
      <c r="A69" s="529">
        <v>50</v>
      </c>
      <c r="B69" s="530">
        <f>INDEX(Fechas_Pago,$A69)</f>
        <v>43693</v>
      </c>
      <c r="C69" s="531">
        <f ca="1">T_Merger!L69</f>
        <v>0</v>
      </c>
      <c r="D69" s="531">
        <f ca="1">T_Merger!M69</f>
        <v>0</v>
      </c>
      <c r="E69" s="722">
        <f ca="1">T_Merger!P69</f>
        <v>0</v>
      </c>
      <c r="F69" s="531">
        <f ca="1">T_Merger!Q69</f>
        <v>0</v>
      </c>
      <c r="G69" s="531">
        <f ca="1">T_Merger!R69</f>
        <v>0</v>
      </c>
      <c r="H69" s="688">
        <v>0</v>
      </c>
      <c r="I69" s="532">
        <f ca="1">T_Merger!T69</f>
        <v>0</v>
      </c>
    </row>
    <row r="70" spans="1:10" hidden="1">
      <c r="A70" s="529">
        <v>51</v>
      </c>
      <c r="B70" s="530">
        <f>INDEX(Fechas_Pago,$A70)</f>
        <v>43724</v>
      </c>
      <c r="C70" s="531">
        <f ca="1">T_Merger!L70</f>
        <v>0</v>
      </c>
      <c r="D70" s="531">
        <f ca="1">T_Merger!M70</f>
        <v>0</v>
      </c>
      <c r="E70" s="722">
        <f ca="1">T_Merger!P70</f>
        <v>0</v>
      </c>
      <c r="F70" s="531">
        <f ca="1">T_Merger!Q70</f>
        <v>0</v>
      </c>
      <c r="G70" s="531">
        <f ca="1">T_Merger!R70</f>
        <v>0</v>
      </c>
      <c r="H70" s="688">
        <v>0</v>
      </c>
      <c r="I70" s="532">
        <f ca="1">T_Merger!T70</f>
        <v>0</v>
      </c>
    </row>
    <row r="71" spans="1:10" hidden="1">
      <c r="A71" s="529">
        <v>52</v>
      </c>
      <c r="B71" s="530">
        <f>INDEX(Fechas_Pago,$A71)</f>
        <v>43754</v>
      </c>
      <c r="C71" s="531">
        <f ca="1">T_Merger!L71</f>
        <v>0</v>
      </c>
      <c r="D71" s="531">
        <f ca="1">T_Merger!M71</f>
        <v>0</v>
      </c>
      <c r="E71" s="722">
        <f ca="1">T_Merger!P71</f>
        <v>0</v>
      </c>
      <c r="F71" s="531">
        <f ca="1">T_Merger!Q71</f>
        <v>0</v>
      </c>
      <c r="G71" s="531">
        <f ca="1">T_Merger!R71</f>
        <v>0</v>
      </c>
      <c r="H71" s="688">
        <v>0</v>
      </c>
      <c r="I71" s="532">
        <f ca="1">T_Merger!T71</f>
        <v>0</v>
      </c>
    </row>
    <row r="72" spans="1:10" hidden="1">
      <c r="A72" s="529">
        <v>53</v>
      </c>
      <c r="B72" s="530">
        <f>INDEX(Fechas_Pago,$A72)</f>
        <v>43785</v>
      </c>
      <c r="C72" s="531">
        <f ca="1">T_Merger!L72</f>
        <v>0</v>
      </c>
      <c r="D72" s="531">
        <f ca="1">T_Merger!M72</f>
        <v>0</v>
      </c>
      <c r="E72" s="722">
        <f ca="1">T_Merger!P72</f>
        <v>0</v>
      </c>
      <c r="F72" s="531">
        <f ca="1">T_Merger!Q72</f>
        <v>0</v>
      </c>
      <c r="G72" s="531">
        <f ca="1">T_Merger!R72</f>
        <v>0</v>
      </c>
      <c r="H72" s="688">
        <v>0</v>
      </c>
      <c r="I72" s="532">
        <f ca="1">T_Merger!T72</f>
        <v>0</v>
      </c>
    </row>
    <row r="73" spans="1:10" hidden="1">
      <c r="A73" s="529">
        <v>54</v>
      </c>
      <c r="B73" s="530">
        <f>INDEX(Fechas_Pago,$A73)</f>
        <v>43815</v>
      </c>
      <c r="C73" s="531">
        <f ca="1">T_Merger!L73</f>
        <v>0</v>
      </c>
      <c r="D73" s="531">
        <f ca="1">T_Merger!M73</f>
        <v>0</v>
      </c>
      <c r="E73" s="722">
        <f ca="1">T_Merger!P73</f>
        <v>0</v>
      </c>
      <c r="F73" s="531">
        <f ca="1">T_Merger!Q73</f>
        <v>0</v>
      </c>
      <c r="G73" s="531">
        <f ca="1">T_Merger!R73</f>
        <v>0</v>
      </c>
      <c r="H73" s="688">
        <v>0</v>
      </c>
      <c r="I73" s="532">
        <f ca="1">T_Merger!T73</f>
        <v>0</v>
      </c>
    </row>
    <row r="74" spans="1:10" hidden="1">
      <c r="A74" s="529">
        <v>55</v>
      </c>
      <c r="B74" s="530">
        <f>INDEX(Fechas_Pago,$A74)</f>
        <v>43846</v>
      </c>
      <c r="C74" s="531">
        <f ca="1">T_Merger!L74</f>
        <v>0</v>
      </c>
      <c r="D74" s="531">
        <f ca="1">T_Merger!M74</f>
        <v>0</v>
      </c>
      <c r="E74" s="722">
        <f ca="1">T_Merger!P74</f>
        <v>0</v>
      </c>
      <c r="F74" s="531">
        <f ca="1">T_Merger!Q74</f>
        <v>0</v>
      </c>
      <c r="G74" s="531">
        <f ca="1">T_Merger!R74</f>
        <v>0</v>
      </c>
      <c r="H74" s="688">
        <v>0</v>
      </c>
      <c r="I74" s="532">
        <f ca="1">T_Merger!T74</f>
        <v>0</v>
      </c>
    </row>
    <row r="75" spans="1:10" hidden="1">
      <c r="A75" s="529">
        <v>56</v>
      </c>
      <c r="B75" s="530">
        <f>INDEX(Fechas_Pago,$A75)</f>
        <v>43877</v>
      </c>
      <c r="C75" s="531">
        <f ca="1">T_Merger!L75</f>
        <v>0</v>
      </c>
      <c r="D75" s="531">
        <f ca="1">T_Merger!M75</f>
        <v>0</v>
      </c>
      <c r="E75" s="722">
        <f ca="1">T_Merger!P75</f>
        <v>0</v>
      </c>
      <c r="F75" s="531">
        <f ca="1">T_Merger!Q75</f>
        <v>0</v>
      </c>
      <c r="G75" s="531">
        <f ca="1">T_Merger!R75</f>
        <v>0</v>
      </c>
      <c r="H75" s="688">
        <v>0</v>
      </c>
      <c r="I75" s="532">
        <f ca="1">T_Merger!T75</f>
        <v>0</v>
      </c>
    </row>
    <row r="76" spans="1:10" hidden="1">
      <c r="A76" s="529">
        <v>57</v>
      </c>
      <c r="B76" s="530">
        <f>INDEX(Fechas_Pago,$A76)</f>
        <v>43906</v>
      </c>
      <c r="C76" s="531">
        <f ca="1">T_Merger!L76</f>
        <v>0</v>
      </c>
      <c r="D76" s="531">
        <f ca="1">T_Merger!M76</f>
        <v>0</v>
      </c>
      <c r="E76" s="722">
        <f ca="1">T_Merger!P76</f>
        <v>0</v>
      </c>
      <c r="F76" s="531">
        <f ca="1">T_Merger!Q76</f>
        <v>0</v>
      </c>
      <c r="G76" s="531">
        <f ca="1">T_Merger!R76</f>
        <v>0</v>
      </c>
      <c r="H76" s="688">
        <v>0</v>
      </c>
      <c r="I76" s="532">
        <f ca="1">T_Merger!T76</f>
        <v>0</v>
      </c>
    </row>
    <row r="77" spans="1:10" hidden="1">
      <c r="A77" s="529">
        <v>58</v>
      </c>
      <c r="B77" s="530">
        <f>INDEX(Fechas_Pago,$A77)</f>
        <v>43937</v>
      </c>
      <c r="C77" s="531">
        <f ca="1">T_Merger!L77</f>
        <v>0</v>
      </c>
      <c r="D77" s="531">
        <f ca="1">T_Merger!M77</f>
        <v>0</v>
      </c>
      <c r="E77" s="722">
        <f ca="1">T_Merger!P77</f>
        <v>0</v>
      </c>
      <c r="F77" s="531">
        <f ca="1">T_Merger!Q77</f>
        <v>0</v>
      </c>
      <c r="G77" s="531">
        <f ca="1">T_Merger!R77</f>
        <v>0</v>
      </c>
      <c r="H77" s="688">
        <v>0</v>
      </c>
      <c r="I77" s="532">
        <f ca="1">T_Merger!T77</f>
        <v>0</v>
      </c>
      <c r="J77" s="723"/>
    </row>
    <row r="78" spans="1:10" hidden="1">
      <c r="A78" s="529">
        <v>59</v>
      </c>
      <c r="B78" s="530">
        <f>INDEX(Fechas_Pago,$A78)</f>
        <v>43967</v>
      </c>
      <c r="C78" s="531">
        <f ca="1">T_Merger!L78</f>
        <v>0</v>
      </c>
      <c r="D78" s="531">
        <f ca="1">T_Merger!M78</f>
        <v>0</v>
      </c>
      <c r="E78" s="722">
        <f ca="1">T_Merger!P78</f>
        <v>0</v>
      </c>
      <c r="F78" s="531">
        <f ca="1">T_Merger!Q78</f>
        <v>0</v>
      </c>
      <c r="G78" s="531">
        <f ca="1">T_Merger!R78</f>
        <v>0</v>
      </c>
      <c r="H78" s="688">
        <v>0</v>
      </c>
      <c r="I78" s="532">
        <f ca="1">T_Merger!T78</f>
        <v>0</v>
      </c>
    </row>
    <row r="79" spans="1:10" hidden="1">
      <c r="A79" s="533">
        <v>60</v>
      </c>
      <c r="B79" s="534">
        <f>INDEX(Fechas_Pago,$A79)</f>
        <v>43998</v>
      </c>
      <c r="C79" s="535">
        <f ca="1">T_Merger!L79</f>
        <v>0</v>
      </c>
      <c r="D79" s="535">
        <f ca="1">T_Merger!M79</f>
        <v>0</v>
      </c>
      <c r="E79" s="721">
        <f ca="1">T_Merger!P79</f>
        <v>0</v>
      </c>
      <c r="F79" s="535">
        <f ca="1">T_Merger!Q79</f>
        <v>0</v>
      </c>
      <c r="G79" s="535">
        <f ca="1">T_Merger!R79</f>
        <v>0</v>
      </c>
      <c r="H79" s="689">
        <v>0</v>
      </c>
      <c r="I79" s="536">
        <f ca="1">T_Merger!T79</f>
        <v>0</v>
      </c>
    </row>
    <row r="80" spans="1:10" ht="17.25" thickBot="1">
      <c r="A80" s="520"/>
      <c r="B80" s="521"/>
      <c r="C80" s="522" t="s">
        <v>1765</v>
      </c>
      <c r="D80" s="523">
        <f ca="1">SUM(D20:D79)</f>
        <v>235000.00000000003</v>
      </c>
      <c r="E80" s="523">
        <f ca="1">SUM(E20:E79)</f>
        <v>15938.710301585917</v>
      </c>
      <c r="F80" s="523">
        <f ca="1">SUM(F20:F79)</f>
        <v>1912.6452361903098</v>
      </c>
      <c r="G80" s="523">
        <f ca="1">SUM(G20:G79)</f>
        <v>252851.35000000006</v>
      </c>
      <c r="H80" s="523">
        <f>SUM(H20:H79)</f>
        <v>0</v>
      </c>
      <c r="I80" s="524"/>
    </row>
    <row r="81" spans="1:9">
      <c r="A81" s="896" t="s">
        <v>3848</v>
      </c>
      <c r="B81" s="897"/>
      <c r="C81" s="897"/>
      <c r="D81" s="897"/>
      <c r="E81" s="897"/>
      <c r="F81" s="897"/>
      <c r="G81" s="897"/>
      <c r="H81" s="897"/>
      <c r="I81" s="898"/>
    </row>
    <row r="82" spans="1:9" ht="15" customHeight="1">
      <c r="A82" s="872"/>
      <c r="B82" s="873"/>
      <c r="C82" s="873"/>
      <c r="D82" s="873"/>
      <c r="E82" s="873"/>
      <c r="F82" s="873"/>
      <c r="G82" s="873"/>
      <c r="H82" s="873"/>
      <c r="I82" s="874"/>
    </row>
    <row r="83" spans="1:9" ht="23.1" customHeight="1">
      <c r="A83" s="872" t="str">
        <f ca="1">IF(ID_CALCULO_SEGURO&gt;5,"",IF(ID_CALCULO_SEGURO=1,Leyenda_seguro_anual_tabla_amortizacion&amp;Leyenda_coberturas_adicionales_tabla_de_amortizacion))</f>
        <v/>
      </c>
      <c r="B83" s="873"/>
      <c r="C83" s="873"/>
      <c r="D83" s="873"/>
      <c r="E83" s="873"/>
      <c r="F83" s="873"/>
      <c r="G83" s="873"/>
      <c r="H83" s="873"/>
      <c r="I83" s="874"/>
    </row>
    <row r="84" spans="1:9" ht="23.1" customHeight="1">
      <c r="A84" s="872"/>
      <c r="B84" s="873"/>
      <c r="C84" s="873"/>
      <c r="D84" s="873"/>
      <c r="E84" s="873"/>
      <c r="F84" s="873"/>
      <c r="G84" s="873"/>
      <c r="H84" s="873"/>
      <c r="I84" s="874"/>
    </row>
    <row r="85" spans="1:9" ht="23.1" customHeight="1" thickBot="1">
      <c r="A85" s="875"/>
      <c r="B85" s="876"/>
      <c r="C85" s="876"/>
      <c r="D85" s="876"/>
      <c r="E85" s="876"/>
      <c r="F85" s="876"/>
      <c r="G85" s="876"/>
      <c r="H85" s="876"/>
      <c r="I85" s="877"/>
    </row>
  </sheetData>
  <mergeCells count="9">
    <mergeCell ref="D6:G6"/>
    <mergeCell ref="D7:G7"/>
    <mergeCell ref="A14:B14"/>
    <mergeCell ref="A81:I82"/>
    <mergeCell ref="A83:I85"/>
    <mergeCell ref="C14:D14"/>
    <mergeCell ref="C13:D13"/>
    <mergeCell ref="A18:I18"/>
    <mergeCell ref="A15:B15"/>
  </mergeCells>
  <phoneticPr fontId="24" type="noConversion"/>
  <dataValidations count="2">
    <dataValidation type="list" allowBlank="1" showInputMessage="1" showErrorMessage="1" sqref="C14:D14">
      <formula1>COMBO_ABONO_ANTICIPADO</formula1>
    </dataValidation>
    <dataValidation type="list" allowBlank="1" showInputMessage="1" showErrorMessage="1" sqref="C13">
      <formula1>INDIRECT(RANGO_COMBO_PLAZOS)</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S158"/>
  <sheetViews>
    <sheetView zoomScale="85" zoomScaleNormal="85" workbookViewId="0"/>
    <sheetView topLeftCell="D81" zoomScale="70" zoomScaleNormal="70" workbookViewId="1">
      <selection activeCell="F137" sqref="F137"/>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s>
  <sheetData>
    <row r="1" spans="1:19" ht="20.25" thickBot="1">
      <c r="A1" s="12" t="s">
        <v>477</v>
      </c>
      <c r="B1" s="12"/>
      <c r="C1" s="12"/>
      <c r="D1" s="12"/>
      <c r="E1" s="12"/>
      <c r="F1" s="12"/>
      <c r="G1" s="12"/>
      <c r="H1" s="12"/>
      <c r="I1" s="84"/>
      <c r="J1" s="12"/>
      <c r="K1" s="12"/>
      <c r="L1" s="12"/>
      <c r="M1" s="12"/>
    </row>
    <row r="2" spans="1:19" ht="15.75" thickTop="1">
      <c r="E2" s="129"/>
    </row>
    <row r="3" spans="1:19" ht="18" thickBot="1">
      <c r="A3" s="259" t="s">
        <v>488</v>
      </c>
      <c r="B3" s="259"/>
      <c r="C3" s="259"/>
      <c r="E3" s="259" t="s">
        <v>489</v>
      </c>
      <c r="F3" s="259"/>
      <c r="G3" s="259"/>
      <c r="H3" s="259"/>
      <c r="I3" s="260"/>
      <c r="K3" s="259" t="s">
        <v>10</v>
      </c>
      <c r="L3" s="259"/>
      <c r="M3" s="259"/>
      <c r="N3" s="701"/>
      <c r="O3" s="259" t="s">
        <v>10629</v>
      </c>
      <c r="P3" s="259"/>
      <c r="Q3" s="259"/>
      <c r="R3" s="259"/>
      <c r="S3" s="259"/>
    </row>
    <row r="4" spans="1:19" ht="16.5" thickTop="1" thickBot="1">
      <c r="E4" s="129"/>
    </row>
    <row r="5" spans="1:19">
      <c r="A5" s="251"/>
      <c r="B5" s="909" t="s">
        <v>1752</v>
      </c>
      <c r="C5" s="909"/>
      <c r="D5" t="s">
        <v>487</v>
      </c>
      <c r="E5" s="177" t="s">
        <v>2323</v>
      </c>
      <c r="F5" s="142" t="s">
        <v>1638</v>
      </c>
      <c r="K5" s="910" t="s">
        <v>478</v>
      </c>
      <c r="L5" s="911"/>
      <c r="M5" s="80" t="s">
        <v>1697</v>
      </c>
      <c r="O5" s="815" t="s">
        <v>10600</v>
      </c>
      <c r="P5" s="816" t="s">
        <v>10603</v>
      </c>
    </row>
    <row r="6" spans="1:19">
      <c r="A6" s="45" t="s">
        <v>479</v>
      </c>
      <c r="B6" s="45" t="s">
        <v>480</v>
      </c>
      <c r="C6" s="45" t="s">
        <v>1751</v>
      </c>
      <c r="E6" s="33" t="s">
        <v>493</v>
      </c>
      <c r="F6" s="137">
        <f ca="1">ID_CONDICION_AUTO</f>
        <v>1</v>
      </c>
      <c r="K6" s="61"/>
      <c r="L6" s="18"/>
      <c r="M6" s="62"/>
      <c r="O6" s="810" t="str">
        <f>SELECCION_PRODUCTO</f>
        <v>AutoEstrene</v>
      </c>
      <c r="P6" s="817" t="str">
        <f>DGET(C_PRODUCTO,P5,$O$5:$O$6)</f>
        <v>AET</v>
      </c>
    </row>
    <row r="7" spans="1:19">
      <c r="A7" s="240" t="str">
        <f>SELECCION_TIPO_PERSONA</f>
        <v>Física</v>
      </c>
      <c r="B7" s="34" t="s">
        <v>1741</v>
      </c>
      <c r="C7" s="692">
        <f ca="1">VLOOKUP(SELECCION_TIPO_PERSONA,C_TIPO_PERSONA_DESC,2,0)</f>
        <v>1</v>
      </c>
      <c r="E7" s="35" t="s">
        <v>494</v>
      </c>
      <c r="F7" s="201" t="str">
        <f ca="1">VLOOKUP(ID_CONDICION_AUTO,C_CONDICION_AUTO,2,0)</f>
        <v>Nuevo</v>
      </c>
      <c r="K7" s="907" t="s">
        <v>1687</v>
      </c>
      <c r="L7" s="908"/>
      <c r="M7" s="235">
        <f ca="1">MontoEnganche</f>
        <v>25000</v>
      </c>
    </row>
    <row r="8" spans="1:19">
      <c r="A8" s="241" t="str">
        <f>SELECCION_IVA</f>
        <v>No Frontera</v>
      </c>
      <c r="B8" s="38" t="s">
        <v>1742</v>
      </c>
      <c r="C8" s="252">
        <f ca="1">VLOOKUP(SELECCION_IVA,C_IVA_DESC,2,0)</f>
        <v>1</v>
      </c>
      <c r="E8" s="35" t="s">
        <v>10626</v>
      </c>
      <c r="F8" s="77" t="b">
        <f ca="1">VLOOKUP(ID_CONDICION_AUTO,C_CONDICION_AUTO,4,0)</f>
        <v>1</v>
      </c>
      <c r="K8" s="907" t="s">
        <v>1690</v>
      </c>
      <c r="L8" s="908"/>
      <c r="M8" s="235" t="str">
        <f ca="1">MontoSeguroDeContado</f>
        <v>$11,424.74</v>
      </c>
      <c r="O8" s="815" t="s">
        <v>10609</v>
      </c>
      <c r="P8" s="816" t="s">
        <v>10603</v>
      </c>
      <c r="Q8" s="933" t="s">
        <v>3821</v>
      </c>
    </row>
    <row r="9" spans="1:19">
      <c r="A9" s="241" t="str">
        <f>SELECCION_ESTADO</f>
        <v>Aguascalientes</v>
      </c>
      <c r="B9" s="38" t="s">
        <v>1743</v>
      </c>
      <c r="C9" s="693">
        <f ca="1">VLOOKUP(SELECCION_ESTADO,C_ESTADO_DESC,2,0)</f>
        <v>1</v>
      </c>
      <c r="E9" s="822" t="s">
        <v>2322</v>
      </c>
      <c r="F9" s="823" t="b">
        <f ca="1">NOT(CondicionAutoEsNuevo?)</f>
        <v>0</v>
      </c>
      <c r="K9" s="907" t="s">
        <v>1688</v>
      </c>
      <c r="L9" s="908"/>
      <c r="M9" s="235">
        <f ca="1">MontoComisionPorAperturaConIva</f>
        <v>6814.9999999999991</v>
      </c>
      <c r="O9" s="810" t="str">
        <f>SELECCION_TIPO_TARIFA</f>
        <v>Tradicional</v>
      </c>
      <c r="P9" s="817" t="str">
        <f>DGET(C_TIPO_TARIFA,P8,$O$8:$O$9)</f>
        <v>T.T.TRAD</v>
      </c>
      <c r="Q9" s="818">
        <f>DGET(C_TIPO_TARIFA,Q8,$O$8:$O$9)</f>
        <v>2.5000000000000001E-2</v>
      </c>
    </row>
    <row r="10" spans="1:19">
      <c r="A10" s="242" t="str">
        <f>SELECCION_AUTO</f>
        <v>MDX</v>
      </c>
      <c r="B10" s="237" t="s">
        <v>1744</v>
      </c>
      <c r="C10" s="253">
        <f ca="1">ID_AUTO</f>
        <v>2</v>
      </c>
      <c r="E10" s="825"/>
      <c r="F10" s="826"/>
      <c r="G10" s="701"/>
      <c r="H10" s="701"/>
      <c r="I10" s="819"/>
      <c r="K10" s="907" t="s">
        <v>1689</v>
      </c>
      <c r="L10" s="908"/>
      <c r="M10" s="235">
        <f ca="1">AportacionAdicional</f>
        <v>0</v>
      </c>
    </row>
    <row r="11" spans="1:19">
      <c r="A11" s="241" t="str">
        <f>SELECCION_CONDICION_AUTO</f>
        <v>Nuevo</v>
      </c>
      <c r="B11" s="238" t="s">
        <v>2</v>
      </c>
      <c r="C11" s="693">
        <f ca="1">VLOOKUP(SELECCION_CONDICION_AUTO,C_CONDICION_AUTO_DESC,2,0)</f>
        <v>1</v>
      </c>
      <c r="E11" s="33" t="s">
        <v>20</v>
      </c>
      <c r="F11" s="824">
        <f ca="1">C.Porcentaje_Mínimo_Enganche</f>
        <v>0.1</v>
      </c>
      <c r="K11" s="905" t="s">
        <v>1691</v>
      </c>
      <c r="L11" s="906"/>
      <c r="M11" s="236">
        <f ca="1">SUM(M7:M10)</f>
        <v>31815</v>
      </c>
      <c r="O11" s="815" t="s">
        <v>10616</v>
      </c>
      <c r="P11" s="815" t="s">
        <v>10609</v>
      </c>
      <c r="Q11" s="933" t="s">
        <v>10622</v>
      </c>
    </row>
    <row r="12" spans="1:19">
      <c r="A12" s="241">
        <f>SELECCION_MODELO</f>
        <v>2015</v>
      </c>
      <c r="B12" s="238" t="s">
        <v>2197</v>
      </c>
      <c r="C12" s="693">
        <f ca="1">VLOOKUP(SELECCION_MODELO,C_MODELO_AÑO_DESC,2,0)</f>
        <v>2</v>
      </c>
      <c r="E12" s="39" t="s">
        <v>3312</v>
      </c>
      <c r="F12" s="341">
        <f>1-(Monto_Mínimo_a_Financiar/CapturaValorFactura)</f>
        <v>0.9</v>
      </c>
      <c r="G12" s="18"/>
      <c r="H12" s="821"/>
      <c r="I12" s="819"/>
      <c r="K12" s="61"/>
      <c r="L12" s="18"/>
      <c r="M12" s="62"/>
      <c r="O12" s="819" t="str">
        <f ca="1">CondicionAuto_Descripcion</f>
        <v>Nuevo</v>
      </c>
      <c r="P12" s="819" t="str">
        <f>TTAR.Código</f>
        <v>T.T.TRAD</v>
      </c>
      <c r="Q12" s="820">
        <f ca="1">DGET(C_CONDICION_AUTO_TIPO_TARIFA,Q11,$O$11:$P$12)</f>
        <v>0.1</v>
      </c>
    </row>
    <row r="13" spans="1:19">
      <c r="A13" s="241" t="str">
        <f>SELECCION_CALCULO_SEGURO</f>
        <v>Anual Contado</v>
      </c>
      <c r="B13" s="38" t="s">
        <v>4283</v>
      </c>
      <c r="C13" s="693">
        <f ca="1">VLOOKUP(SELECCION_CALCULO_SEGURO,C_CALCULO_SEGURO_DESC,2,0)</f>
        <v>6</v>
      </c>
      <c r="K13" s="907" t="s">
        <v>1685</v>
      </c>
      <c r="L13" s="908"/>
      <c r="M13" s="235">
        <f ca="1">MontoFinanciarAuto</f>
        <v>225000</v>
      </c>
    </row>
    <row r="14" spans="1:19">
      <c r="A14" s="241" t="str">
        <f>SELECCION_GTIAEXT</f>
        <v>Financiado</v>
      </c>
      <c r="B14" s="38" t="s">
        <v>5091</v>
      </c>
      <c r="C14" s="252"/>
      <c r="E14" s="177" t="s">
        <v>2194</v>
      </c>
      <c r="F14" s="142" t="s">
        <v>1638</v>
      </c>
      <c r="K14" s="907" t="s">
        <v>1686</v>
      </c>
      <c r="L14" s="908"/>
      <c r="M14" s="235">
        <f ca="1">MontoFinanciarSeguros</f>
        <v>0</v>
      </c>
      <c r="O14" s="815" t="s">
        <v>10616</v>
      </c>
      <c r="P14" s="933" t="s">
        <v>10617</v>
      </c>
    </row>
    <row r="15" spans="1:19">
      <c r="A15" s="241" t="str">
        <f>SELECCION_AUTO_SUST</f>
        <v>Si</v>
      </c>
      <c r="B15" s="38" t="s">
        <v>1745</v>
      </c>
      <c r="C15" s="252">
        <f ca="1">VLOOKUP(SELECCION_AUTO_SUST,C_SI_NO_DESC,2,0)</f>
        <v>1</v>
      </c>
      <c r="E15" s="33" t="s">
        <v>493</v>
      </c>
      <c r="F15" s="137">
        <f ca="1">ID_MODELO</f>
        <v>2</v>
      </c>
      <c r="K15" s="72"/>
      <c r="L15" s="18"/>
      <c r="M15" s="73"/>
      <c r="O15" s="814" t="str">
        <f ca="1">CondicionAuto_Descripcion</f>
        <v>Nuevo</v>
      </c>
      <c r="P15" s="452">
        <f ca="1">DGET(C_TASA_REDUCIDA,P14,$O$14:$O$15)</f>
        <v>0.3</v>
      </c>
    </row>
    <row r="16" spans="1:19">
      <c r="A16" s="241" t="str">
        <f>SELECCION_INCREMENTO_RC</f>
        <v>No</v>
      </c>
      <c r="B16" s="38" t="s">
        <v>1746</v>
      </c>
      <c r="C16" s="252">
        <f ca="1">VLOOKUP(SELECCION_INCREMENTO_RC,C_ADIC_INCREMENTO_RC_DESC,2,0)</f>
        <v>0</v>
      </c>
      <c r="E16" s="35" t="s">
        <v>494</v>
      </c>
      <c r="F16" s="77">
        <f ca="1">GetCatalogValue(ID_MODELO,"Descripción",C_MODELO_AÑO)</f>
        <v>2015</v>
      </c>
      <c r="K16" s="65" t="s">
        <v>503</v>
      </c>
      <c r="L16" s="230" t="s">
        <v>1681</v>
      </c>
      <c r="M16" s="66" t="s">
        <v>1692</v>
      </c>
    </row>
    <row r="17" spans="1:19">
      <c r="A17" s="241" t="str">
        <f>SELECCION_INDEMN_AÑO1</f>
        <v>No</v>
      </c>
      <c r="B17" s="38" t="s">
        <v>1747</v>
      </c>
      <c r="C17" s="252">
        <f ca="1">VLOOKUP(SELECCION_INDEMN_AÑO1,C_Indem_Valor_Factura_Desc,2,0)</f>
        <v>1</v>
      </c>
      <c r="E17" s="155" t="s">
        <v>2201</v>
      </c>
      <c r="F17" s="77">
        <f ca="1">GetCatalogValue(ID_MODELO,"AñosAntiguedad",C_MODELO_AÑO)</f>
        <v>0</v>
      </c>
      <c r="K17" s="232">
        <v>12</v>
      </c>
      <c r="L17" s="69">
        <v>0.129</v>
      </c>
      <c r="M17" s="63">
        <v>21149.54</v>
      </c>
      <c r="P17" s="933" t="s">
        <v>10618</v>
      </c>
    </row>
    <row r="18" spans="1:19">
      <c r="A18" s="241" t="str">
        <f>SELECCION_SERVICIO_PREMIUM</f>
        <v>Si</v>
      </c>
      <c r="B18" s="38" t="s">
        <v>3818</v>
      </c>
      <c r="C18" s="252">
        <f ca="1">VLOOKUP(SELECCION_SERVICIO_PREMIUM,C_SI_NO_DESC,2,0)</f>
        <v>1</v>
      </c>
      <c r="E18" s="35" t="s">
        <v>2265</v>
      </c>
      <c r="F18" s="38" t="b">
        <f ca="1" xml:space="preserve"> ModeloAñosAntiguedad &gt; 0</f>
        <v>0</v>
      </c>
      <c r="K18" s="232">
        <v>24</v>
      </c>
      <c r="L18" s="69">
        <v>0.129</v>
      </c>
      <c r="M18" s="63">
        <v>11332.83</v>
      </c>
      <c r="P18" s="452" t="b">
        <f ca="1">PorcentajeEnganche &gt;= TR.EngancheRequerido</f>
        <v>0</v>
      </c>
    </row>
    <row r="19" spans="1:19">
      <c r="A19" s="241" t="str">
        <f>SELECCION_PLAZO</f>
        <v>12 Meses</v>
      </c>
      <c r="B19" s="38" t="s">
        <v>1748</v>
      </c>
      <c r="C19" s="252">
        <f ca="1">VLOOKUP(SELECCION_PLAZO,C_PLAZO_DESC,2,0)</f>
        <v>3</v>
      </c>
      <c r="E19" s="155" t="s">
        <v>2339</v>
      </c>
      <c r="F19" s="77">
        <f ca="1">GetCatalogValue(ID_MODELO,"IdCondicionModelo",C_MODELO_AÑO)</f>
        <v>1</v>
      </c>
      <c r="K19" s="232">
        <v>36</v>
      </c>
      <c r="L19" s="69">
        <v>0.129</v>
      </c>
      <c r="M19" s="63">
        <v>8082.97</v>
      </c>
    </row>
    <row r="20" spans="1:19">
      <c r="A20" s="241" t="str">
        <f>SELECCION_FRECUENCIA</f>
        <v>Mensual</v>
      </c>
      <c r="B20" s="239" t="s">
        <v>1749</v>
      </c>
      <c r="C20" s="254">
        <f ca="1">VLOOKUP(SELECCION_FRECUENCIA,C_FRECUENCIA_DESC,2,0)</f>
        <v>1</v>
      </c>
      <c r="E20" s="81" t="s">
        <v>2338</v>
      </c>
      <c r="F20" s="144" t="str">
        <f ca="1">GetCatalogValue(ID_CONDICION_MODELO,"Descripción",C_CONDICION_MODELO)</f>
        <v>Reciente</v>
      </c>
      <c r="K20" s="232">
        <v>48</v>
      </c>
      <c r="L20" s="69">
        <v>0.129</v>
      </c>
      <c r="M20" s="63">
        <v>6474.66</v>
      </c>
      <c r="O20" s="815" t="s">
        <v>10609</v>
      </c>
      <c r="P20" s="815" t="s">
        <v>10616</v>
      </c>
      <c r="Q20" s="815" t="s">
        <v>10625</v>
      </c>
      <c r="R20" s="815" t="s">
        <v>10615</v>
      </c>
      <c r="S20" s="933" t="s">
        <v>10619</v>
      </c>
    </row>
    <row r="21" spans="1:19" ht="15.75" thickBot="1">
      <c r="A21" s="250" t="str">
        <f>Seleccion_Abono_Anticipado</f>
        <v>Reduce plazo y pago</v>
      </c>
      <c r="B21" s="40" t="s">
        <v>1750</v>
      </c>
      <c r="C21" s="255">
        <f ca="1">VLOOKUP(Seleccion_Abono_Anticipado,C_OPCION_ABONO_ANTICIPADO_DESC,2,0)</f>
        <v>1</v>
      </c>
      <c r="K21" s="338">
        <v>60</v>
      </c>
      <c r="L21" s="231">
        <v>0.13200000000000001</v>
      </c>
      <c r="M21" s="64">
        <v>5564.02</v>
      </c>
      <c r="O21" s="452" t="str">
        <f>TTAR.Código</f>
        <v>T.T.TRAD</v>
      </c>
      <c r="P21" s="814" t="str">
        <f ca="1">CondicionAuto_Descripcion</f>
        <v>Nuevo</v>
      </c>
      <c r="Q21" s="814" t="str">
        <f ca="1">IF(PlazoEnMeses&gt;=60,60,"Hasta 48")</f>
        <v>Hasta 48</v>
      </c>
      <c r="R21" s="814" t="b">
        <f ca="1">Tasa_Reducida?</f>
        <v>0</v>
      </c>
      <c r="S21" s="820">
        <f ca="1">DGET(C_TASA_INTERES_ANUAL,S20,$O$20:$R$21)</f>
        <v>0.129</v>
      </c>
    </row>
    <row r="22" spans="1:19">
      <c r="A22" s="243" t="str">
        <f>SELECCION_MARCA</f>
        <v>Acura</v>
      </c>
      <c r="B22" s="247" t="s">
        <v>2216</v>
      </c>
      <c r="C22" s="127"/>
      <c r="E22" s="177" t="s">
        <v>549</v>
      </c>
      <c r="F22" s="142" t="s">
        <v>1638</v>
      </c>
      <c r="G22" s="150" t="s">
        <v>2340</v>
      </c>
      <c r="H22" s="150" t="s">
        <v>2341</v>
      </c>
      <c r="I22" s="154"/>
    </row>
    <row r="23" spans="1:19">
      <c r="A23" s="243">
        <f>CapturaFechaCotizacion</f>
        <v>42181</v>
      </c>
      <c r="B23" s="248" t="s">
        <v>1756</v>
      </c>
      <c r="C23" s="95"/>
      <c r="E23" s="33" t="s">
        <v>2279</v>
      </c>
      <c r="F23" s="189" t="str">
        <f>CONCATENATE(SELECCION_MARCA,", ",SELECCION_AUTO)</f>
        <v>Acura, MDX</v>
      </c>
      <c r="G23" s="192"/>
      <c r="H23" s="185"/>
      <c r="I23" s="137"/>
      <c r="O23" s="815" t="s">
        <v>494</v>
      </c>
      <c r="P23" s="933" t="s">
        <v>1666</v>
      </c>
      <c r="Q23" s="933" t="s">
        <v>1667</v>
      </c>
    </row>
    <row r="24" spans="1:19">
      <c r="A24" s="244">
        <f>CapturaValorFactura</f>
        <v>250000</v>
      </c>
      <c r="B24" s="248" t="s">
        <v>490</v>
      </c>
      <c r="C24" s="95"/>
      <c r="E24" s="35"/>
      <c r="F24" s="186"/>
      <c r="G24" s="193"/>
      <c r="H24" s="186"/>
      <c r="I24" s="77"/>
      <c r="O24" s="827" t="str">
        <f>SELECCION_FRECUENCIA</f>
        <v>Mensual</v>
      </c>
      <c r="P24" s="827">
        <f>DGET(C_FRECUENCIA,P23,$O$23:$O$24)</f>
        <v>30</v>
      </c>
      <c r="Q24" s="827">
        <f>DGET(C_FRECUENCIA,Q23,$O$23:$O$24)</f>
        <v>12</v>
      </c>
    </row>
    <row r="25" spans="1:19">
      <c r="A25" s="245">
        <f>CapturaPorcentajeEnganche</f>
        <v>0.1</v>
      </c>
      <c r="B25" s="248" t="s">
        <v>1755</v>
      </c>
      <c r="C25" s="95"/>
      <c r="E25" s="35" t="s">
        <v>493</v>
      </c>
      <c r="F25" s="190">
        <f ca="1">CHOOSE(ID_CONDICION_MODELO,G25,H25)</f>
        <v>2</v>
      </c>
      <c r="G25" s="194">
        <f>IF(ISERROR(G26), 0, G26)</f>
        <v>2</v>
      </c>
      <c r="H25" s="152">
        <f>IF(ISERROR(H26), 0, H26)</f>
        <v>0</v>
      </c>
      <c r="I25" s="77" t="s">
        <v>2281</v>
      </c>
      <c r="J25" s="153"/>
      <c r="L25" s="69"/>
      <c r="M25" s="37"/>
    </row>
    <row r="26" spans="1:19">
      <c r="A26" s="245">
        <f>CapturaPorcentajeComisionApertura</f>
        <v>2.5000000000000001E-2</v>
      </c>
      <c r="B26" s="248" t="s">
        <v>1754</v>
      </c>
      <c r="C26" s="95"/>
      <c r="E26" s="35"/>
      <c r="F26" s="18"/>
      <c r="G26" s="35">
        <f>GetIdFromDesc(AutoCadenaCompleta,G27)</f>
        <v>2</v>
      </c>
      <c r="H26" s="36" t="e">
        <f>GetIdFromDesc(AutoCadenaCompleta,H27)</f>
        <v>#VALUE!</v>
      </c>
      <c r="I26" s="77" t="s">
        <v>2280</v>
      </c>
    </row>
    <row r="27" spans="1:19">
      <c r="A27" s="246">
        <f>CapturaAportacionAdicional</f>
        <v>0</v>
      </c>
      <c r="B27" s="249" t="s">
        <v>1753</v>
      </c>
      <c r="C27" s="128"/>
      <c r="E27" s="35"/>
      <c r="F27" s="36"/>
      <c r="G27" s="171" t="s">
        <v>2215</v>
      </c>
      <c r="H27" s="159" t="s">
        <v>473</v>
      </c>
      <c r="I27" s="160" t="s">
        <v>2261</v>
      </c>
    </row>
    <row r="28" spans="1:19">
      <c r="A28" s="243" t="str">
        <f>SELECCION_GTIAEXT</f>
        <v>Financiado</v>
      </c>
      <c r="B28" s="36"/>
      <c r="E28" s="35" t="s">
        <v>494</v>
      </c>
      <c r="F28" s="191" t="str">
        <f ca="1">CHOOSE(ID_CONDICION_MODELO,G28,H28)</f>
        <v>Acura, MDX</v>
      </c>
      <c r="G28" s="151" t="str">
        <f ca="1">GetCatalogValue(ID_AUTO,"Descripción",INDIRECT(G27))</f>
        <v>Acura, MDX</v>
      </c>
      <c r="H28" s="184" t="e">
        <f ca="1">GetCatalogValue(ID_AUTO,"Descripción",INDIRECT(H27))</f>
        <v>#VALUE!</v>
      </c>
      <c r="I28" s="77" t="s">
        <v>555</v>
      </c>
    </row>
    <row r="29" spans="1:19">
      <c r="E29" s="35" t="s">
        <v>2262</v>
      </c>
      <c r="F29" s="190">
        <f ca="1">CHOOSE(ID_CONDICION_MODELO,G29,H29)</f>
        <v>1</v>
      </c>
      <c r="G29" s="151">
        <f ca="1">GetCatalogValue(ID_AUTO,G30,INDIRECT(G27))</f>
        <v>1</v>
      </c>
      <c r="H29" s="152" t="e">
        <f ca="1">GetCatalogValue(ID_AUTO,H30,INDIRECT(H27))</f>
        <v>#VALUE!</v>
      </c>
      <c r="I29" s="77"/>
    </row>
    <row r="30" spans="1:19" ht="18" thickBot="1">
      <c r="A30" s="259" t="s">
        <v>11</v>
      </c>
      <c r="B30" s="259"/>
      <c r="E30" s="35"/>
      <c r="F30" s="36"/>
      <c r="G30" s="171" t="s">
        <v>1789</v>
      </c>
      <c r="H30" s="159" t="s">
        <v>1789</v>
      </c>
      <c r="I30" s="160" t="s">
        <v>2263</v>
      </c>
    </row>
    <row r="31" spans="1:19" ht="15.75" thickTop="1">
      <c r="E31" s="39" t="s">
        <v>3820</v>
      </c>
      <c r="F31" s="136" t="b">
        <f ca="1">ID_TIPO_AUTO = _3.5T</f>
        <v>0</v>
      </c>
      <c r="G31" s="448"/>
      <c r="H31" s="449"/>
      <c r="I31" s="450"/>
    </row>
    <row r="32" spans="1:19">
      <c r="A32" s="213" t="s">
        <v>3</v>
      </c>
      <c r="B32" s="34"/>
      <c r="G32" s="147"/>
      <c r="H32" s="147"/>
      <c r="I32" s="147"/>
      <c r="J32" s="153"/>
    </row>
    <row r="33" spans="1:9">
      <c r="A33" s="143" t="s">
        <v>4</v>
      </c>
      <c r="B33" s="268" t="str">
        <f ca="1">IF(CondicionAutoEsNuevo?, "COMBO_MODELO_NUEVOS", "COMBO_MODELO_SEMINUEVOS")</f>
        <v>COMBO_MODELO_NUEVOS</v>
      </c>
      <c r="E33" s="177" t="s">
        <v>506</v>
      </c>
      <c r="F33" s="142" t="s">
        <v>1638</v>
      </c>
      <c r="G33" s="150" t="s">
        <v>2340</v>
      </c>
      <c r="H33" s="150" t="s">
        <v>2341</v>
      </c>
      <c r="I33" s="154"/>
    </row>
    <row r="34" spans="1:9">
      <c r="E34" s="35" t="s">
        <v>493</v>
      </c>
      <c r="F34" s="77">
        <f ca="1">ID_ESTADO</f>
        <v>1</v>
      </c>
      <c r="G34" s="149"/>
      <c r="H34" s="36"/>
      <c r="I34" s="77" t="s">
        <v>555</v>
      </c>
    </row>
    <row r="35" spans="1:9">
      <c r="E35" s="35" t="s">
        <v>494</v>
      </c>
      <c r="F35" s="77" t="str">
        <f ca="1">GetCatalogValue(ID_ESTADO,"Descripción",C_ESTADO)</f>
        <v>Aguascalientes</v>
      </c>
      <c r="G35" s="149"/>
      <c r="H35" s="36"/>
      <c r="I35" s="77" t="s">
        <v>555</v>
      </c>
    </row>
    <row r="36" spans="1:9">
      <c r="A36" s="177" t="s">
        <v>2200</v>
      </c>
      <c r="B36" s="349"/>
      <c r="E36" s="35" t="s">
        <v>2259</v>
      </c>
      <c r="F36" s="77" t="b">
        <f ca="1">GetCatalogValue(ID_ESTADO,"Fronterizo",C_ESTADO)</f>
        <v>0</v>
      </c>
      <c r="G36" s="149"/>
      <c r="H36" s="36"/>
      <c r="I36" s="77" t="s">
        <v>555</v>
      </c>
    </row>
    <row r="37" spans="1:9">
      <c r="A37" s="35" t="s">
        <v>2458</v>
      </c>
      <c r="B37" s="77">
        <f ca="1">GetCatalogValue(ID_INDEMN_AÑO1,"PlazoMinimoEnMeses",C_Indem_Valor_Factura)</f>
        <v>12</v>
      </c>
      <c r="E37" s="35" t="s">
        <v>2258</v>
      </c>
      <c r="F37" s="77" t="b">
        <f ca="1">GetCatalogValue(ID_ESTADO,"RC_USA",C_ESTADO)</f>
        <v>0</v>
      </c>
      <c r="G37" s="149"/>
      <c r="H37" s="36"/>
      <c r="I37" s="77" t="s">
        <v>555</v>
      </c>
    </row>
    <row r="38" spans="1:9">
      <c r="A38" s="35" t="s">
        <v>2456</v>
      </c>
      <c r="B38" s="264" t="s">
        <v>469</v>
      </c>
      <c r="E38" s="35" t="s">
        <v>2264</v>
      </c>
      <c r="F38" s="172">
        <f ca="1">CHOOSE(ID_CONDICION_MODELO,G38,H38)</f>
        <v>0.65</v>
      </c>
      <c r="G38" s="194">
        <f ca="1">IF(G39,G40,1)</f>
        <v>0.65</v>
      </c>
      <c r="H38" s="152">
        <f ca="1">IF(H39,H40,1)</f>
        <v>0.61</v>
      </c>
      <c r="I38" s="77" t="s">
        <v>3811</v>
      </c>
    </row>
    <row r="39" spans="1:9">
      <c r="A39" s="39" t="s">
        <v>2457</v>
      </c>
      <c r="B39" s="265" t="s">
        <v>2454</v>
      </c>
      <c r="E39" s="35"/>
      <c r="F39" s="440"/>
      <c r="G39" s="441" t="b">
        <f ca="1">NOT(CondicionAutoEs3.5T?)</f>
        <v>1</v>
      </c>
      <c r="H39" s="442" t="b">
        <f ca="1">G39</f>
        <v>1</v>
      </c>
      <c r="I39" s="77" t="s">
        <v>3809</v>
      </c>
    </row>
    <row r="40" spans="1:9">
      <c r="A40" s="141" t="s">
        <v>2204</v>
      </c>
      <c r="B40" s="348" t="str">
        <f ca="1">IF(PlazoMinimoIVF&lt;24,B38,B39)</f>
        <v>COMBO_PLAZO_NUEVOS</v>
      </c>
      <c r="E40" s="35"/>
      <c r="F40" s="440"/>
      <c r="G40" s="171">
        <f ca="1">GetCatalogValue(ID_ESTADO,G41,C_ESTADO)</f>
        <v>0.65</v>
      </c>
      <c r="H40" s="159">
        <f ca="1">GetCatalogValue(ID_ESTADO,H41,C_ESTADO)</f>
        <v>0.61</v>
      </c>
      <c r="I40" s="77" t="s">
        <v>3810</v>
      </c>
    </row>
    <row r="41" spans="1:9">
      <c r="A41" s="33" t="s">
        <v>2201</v>
      </c>
      <c r="B41" s="137">
        <f ca="1">ModeloAñosAntiguedad</f>
        <v>0</v>
      </c>
      <c r="E41" s="39"/>
      <c r="F41" s="78"/>
      <c r="G41" s="168" t="s">
        <v>507</v>
      </c>
      <c r="H41" s="169" t="s">
        <v>462</v>
      </c>
      <c r="I41" s="170" t="s">
        <v>2260</v>
      </c>
    </row>
    <row r="42" spans="1:9">
      <c r="A42" s="35" t="s">
        <v>2202</v>
      </c>
      <c r="B42" s="77">
        <f ca="1">CONST_AÑOS_PLAZOS_LIMITADOS</f>
        <v>4</v>
      </c>
      <c r="F42" s="14"/>
      <c r="G42" s="14"/>
      <c r="H42" s="14"/>
    </row>
    <row r="43" spans="1:9">
      <c r="A43" s="35" t="s">
        <v>17</v>
      </c>
      <c r="B43" s="264" t="s">
        <v>23</v>
      </c>
      <c r="E43" s="177" t="s">
        <v>2254</v>
      </c>
      <c r="F43" s="142"/>
      <c r="G43" s="147"/>
      <c r="H43" s="147"/>
      <c r="I43" s="147"/>
    </row>
    <row r="44" spans="1:9">
      <c r="A44" s="39" t="s">
        <v>22</v>
      </c>
      <c r="B44" s="265" t="s">
        <v>24</v>
      </c>
      <c r="E44" s="33" t="s">
        <v>2207</v>
      </c>
      <c r="F44" s="74">
        <f ca="1">IF(ID_AUTO=0, 0, CapturaValorFactura)</f>
        <v>250000</v>
      </c>
      <c r="H44" s="147"/>
      <c r="I44" s="147"/>
    </row>
    <row r="45" spans="1:9">
      <c r="A45" s="70" t="s">
        <v>5114</v>
      </c>
      <c r="B45" s="349" t="s">
        <v>5113</v>
      </c>
      <c r="E45" s="35" t="s">
        <v>2210</v>
      </c>
      <c r="F45" s="75">
        <f ca="1">IF(ValorFactura=0,0,CapturaAportacionAdicional)</f>
        <v>0</v>
      </c>
      <c r="H45" s="147"/>
      <c r="I45" s="147"/>
    </row>
    <row r="46" spans="1:9">
      <c r="A46" s="141" t="s">
        <v>470</v>
      </c>
      <c r="B46" s="233" t="str">
        <f ca="1">IF(ID_TIPO_PERSONA=3,Opción_3_Semi,Opción_1_2_Semi)</f>
        <v>Combo_Plazo_Seminuevo_PFyPFAC</v>
      </c>
      <c r="E46" s="81" t="s">
        <v>1755</v>
      </c>
      <c r="F46" s="685">
        <f>CapturaPorcentajeEnganche</f>
        <v>0.1</v>
      </c>
      <c r="G46" s="414"/>
      <c r="H46" s="147"/>
      <c r="I46" s="147"/>
    </row>
    <row r="47" spans="1:9">
      <c r="A47" s="143" t="s">
        <v>2203</v>
      </c>
      <c r="B47" s="234" t="str">
        <f ca="1">IF(CondicionAutoEsNuevo?, B40,B46)</f>
        <v>COMBO_PLAZO_NUEVOS</v>
      </c>
      <c r="E47" s="18"/>
      <c r="F47" s="37"/>
      <c r="H47" s="147"/>
      <c r="I47" s="147"/>
    </row>
    <row r="48" spans="1:9">
      <c r="B48" t="s">
        <v>5115</v>
      </c>
      <c r="E48" s="177" t="s">
        <v>2331</v>
      </c>
      <c r="F48" s="142" t="s">
        <v>1638</v>
      </c>
      <c r="G48" s="147"/>
      <c r="H48" s="147"/>
      <c r="I48" s="147"/>
    </row>
    <row r="49" spans="1:11">
      <c r="E49" s="33" t="s">
        <v>493</v>
      </c>
      <c r="F49" s="137">
        <f ca="1">ID_CALCULO_SEGURO</f>
        <v>6</v>
      </c>
      <c r="G49" s="147"/>
      <c r="H49" s="147"/>
      <c r="I49" s="147"/>
    </row>
    <row r="50" spans="1:11">
      <c r="A50" s="213" t="s">
        <v>2208</v>
      </c>
      <c r="B50" s="34"/>
      <c r="E50" s="35" t="s">
        <v>494</v>
      </c>
      <c r="F50" s="77" t="str">
        <f ca="1">GetCatalogValue(ID_CALCULO_SEGURO,"Descripción",C_CALCULO_SEGURO)</f>
        <v>Anual Contado</v>
      </c>
      <c r="G50" s="147"/>
      <c r="H50" s="147"/>
      <c r="I50" s="147"/>
    </row>
    <row r="51" spans="1:11">
      <c r="A51" s="145" t="s">
        <v>2212</v>
      </c>
      <c r="B51" s="146" t="b">
        <f ca="1">EstadoFronterizo?</f>
        <v>0</v>
      </c>
      <c r="E51" s="155" t="s">
        <v>2332</v>
      </c>
      <c r="F51" s="429" t="b">
        <f ca="1">GetCatalogValue(ID_CALCULO_SEGURO,"EsFinanciado",C_CALCULO_SEGURO)</f>
        <v>0</v>
      </c>
      <c r="G51" s="147"/>
      <c r="H51" s="147"/>
      <c r="I51" s="147"/>
      <c r="J51" s="701"/>
      <c r="K51" s="701"/>
    </row>
    <row r="52" spans="1:11">
      <c r="A52" s="35" t="s">
        <v>13</v>
      </c>
      <c r="B52" s="38" t="s">
        <v>15</v>
      </c>
      <c r="E52" s="155" t="s">
        <v>1679</v>
      </c>
      <c r="F52" s="157" t="b">
        <f ca="1">GetCatalogValue(ID_CALCULO_SEGURO,"EsMultianual",C_CALCULO_SEGURO)</f>
        <v>0</v>
      </c>
      <c r="G52" s="147"/>
      <c r="H52" s="147"/>
      <c r="I52" s="147"/>
    </row>
    <row r="53" spans="1:11">
      <c r="A53" s="39" t="s">
        <v>14</v>
      </c>
      <c r="B53" s="265" t="s">
        <v>16</v>
      </c>
      <c r="E53" s="155" t="s">
        <v>10592</v>
      </c>
      <c r="F53" s="157" t="b">
        <f ca="1">NOT(SeguroEsMultianual?)</f>
        <v>1</v>
      </c>
      <c r="G53" s="147"/>
      <c r="H53" s="147"/>
      <c r="I53" s="147"/>
    </row>
    <row r="54" spans="1:11">
      <c r="A54" s="143" t="s">
        <v>2209</v>
      </c>
      <c r="B54" s="266" t="str">
        <f ca="1">IF(EstadoFronterizo?, B52, B53 )</f>
        <v>COMBO_IVA_NOFRONTERA</v>
      </c>
      <c r="E54" s="155" t="s">
        <v>7</v>
      </c>
      <c r="F54" s="339">
        <f ca="1">GetCatalogValue(ID_CALCULO_SEGURO,"IdPlazo",C_CALCULO_SEGURO)</f>
        <v>3</v>
      </c>
      <c r="G54" s="147"/>
      <c r="H54" s="147"/>
      <c r="I54" s="147"/>
    </row>
    <row r="55" spans="1:11">
      <c r="E55" s="39" t="s">
        <v>8</v>
      </c>
      <c r="F55" s="78" t="str">
        <f ca="1">GetCatalogValue(ID_PLAZO_CALCULO_SEGURO,"Descripción",C_PLAZO)</f>
        <v>12 Meses</v>
      </c>
      <c r="G55" s="147"/>
      <c r="H55" s="147"/>
      <c r="I55" s="147"/>
    </row>
    <row r="56" spans="1:11">
      <c r="F56" s="147"/>
      <c r="G56" s="147"/>
      <c r="H56" s="147"/>
      <c r="I56" s="147"/>
    </row>
    <row r="57" spans="1:11">
      <c r="A57" s="213" t="s">
        <v>25</v>
      </c>
      <c r="B57" s="34"/>
      <c r="E57" s="177" t="s">
        <v>2333</v>
      </c>
      <c r="F57" s="142"/>
      <c r="G57" s="147"/>
      <c r="H57" s="147"/>
      <c r="I57" s="147"/>
    </row>
    <row r="58" spans="1:11">
      <c r="A58" s="33" t="s">
        <v>26</v>
      </c>
      <c r="B58" s="267" t="s">
        <v>28</v>
      </c>
      <c r="E58" s="33" t="s">
        <v>1751</v>
      </c>
      <c r="F58" s="137">
        <f ca="1">IF(SeguroEsMultianual?,F59,F60)</f>
        <v>1</v>
      </c>
      <c r="G58" s="147"/>
      <c r="H58" s="147"/>
      <c r="I58" s="147"/>
    </row>
    <row r="59" spans="1:11">
      <c r="A59" s="35" t="s">
        <v>27</v>
      </c>
      <c r="B59" s="264" t="s">
        <v>29</v>
      </c>
      <c r="E59" s="209" t="s">
        <v>2335</v>
      </c>
      <c r="F59" s="210">
        <f ca="1">GetCatalogValue(ID_PLAZO,"IdFactorMultiAnual",C_PLAZO)</f>
        <v>1</v>
      </c>
      <c r="G59" s="147"/>
      <c r="H59" s="147"/>
      <c r="I59" s="147"/>
    </row>
    <row r="60" spans="1:11">
      <c r="A60" s="35" t="s">
        <v>2321</v>
      </c>
      <c r="B60" s="38" t="b">
        <f ca="1">CondicionAutoEsNuevo?</f>
        <v>1</v>
      </c>
      <c r="E60" s="211" t="s">
        <v>2334</v>
      </c>
      <c r="F60" s="212">
        <v>1</v>
      </c>
      <c r="G60" s="147"/>
      <c r="H60" s="147"/>
      <c r="I60" s="147"/>
    </row>
    <row r="61" spans="1:11">
      <c r="A61" s="143" t="s">
        <v>30</v>
      </c>
      <c r="B61" s="268" t="str">
        <f ca="1">IF(CondicionAutoEsNuevo?,B58,B59)</f>
        <v>COMBO_SEGURO_NUEVOS</v>
      </c>
      <c r="E61" s="35" t="s">
        <v>2336</v>
      </c>
      <c r="F61" s="199">
        <f ca="1">GetCatalogValue(ID_FACTOR_MULTIANUAL,"Auto",C_FACTOR_MULTIANUAL)</f>
        <v>1</v>
      </c>
      <c r="G61" s="147"/>
      <c r="H61" s="147"/>
      <c r="I61" s="147"/>
    </row>
    <row r="62" spans="1:11">
      <c r="E62" s="39" t="s">
        <v>2337</v>
      </c>
      <c r="F62" s="200">
        <f ca="1">GetCatalogValue(ID_FACTOR_MULTIANUAL,"Vida",C_FACTOR_MULTIANUAL)</f>
        <v>1</v>
      </c>
      <c r="G62" s="147"/>
      <c r="H62" s="147"/>
      <c r="I62" s="147"/>
    </row>
    <row r="63" spans="1:11">
      <c r="F63" s="147"/>
      <c r="G63" s="147"/>
      <c r="H63" s="147"/>
      <c r="I63" s="147"/>
    </row>
    <row r="64" spans="1:11">
      <c r="A64" s="177" t="s">
        <v>3799</v>
      </c>
      <c r="B64" s="349"/>
      <c r="E64" s="177" t="s">
        <v>2266</v>
      </c>
      <c r="F64" s="142" t="s">
        <v>1638</v>
      </c>
      <c r="G64" s="409" t="s">
        <v>2531</v>
      </c>
      <c r="H64" s="150" t="s">
        <v>2329</v>
      </c>
      <c r="I64" s="154"/>
    </row>
    <row r="65" spans="1:9">
      <c r="A65" s="35" t="s">
        <v>3800</v>
      </c>
      <c r="B65" s="38" t="b">
        <f ca="1">NOT(CondicionAutoEs3.5T?)</f>
        <v>1</v>
      </c>
      <c r="E65" s="33" t="s">
        <v>2256</v>
      </c>
      <c r="F65" s="195">
        <f ca="1">CHOOSE(ID_CONDICION_MODELO,G65,H65)</f>
        <v>13088.505000000001</v>
      </c>
      <c r="G65" s="179">
        <f ca="1" xml:space="preserve"> (ValorFactura * G66) + G67</f>
        <v>13088.505000000001</v>
      </c>
      <c r="H65" s="180" t="e">
        <f ca="1">GetCatalogValue(ID_AUTO,H68,INDIRECT(H27))</f>
        <v>#VALUE!</v>
      </c>
      <c r="I65" s="137" t="s">
        <v>555</v>
      </c>
    </row>
    <row r="66" spans="1:9">
      <c r="A66" s="437" t="s">
        <v>3797</v>
      </c>
      <c r="B66" s="38" t="s">
        <v>3795</v>
      </c>
      <c r="E66" s="35"/>
      <c r="F66" s="36"/>
      <c r="G66" s="162">
        <f ca="1">GetCatalogValue(ID_AUTO,"CuotaAutoConIva",INDIRECT(G27))</f>
        <v>4.2200100000000004E-2</v>
      </c>
      <c r="H66" s="186"/>
      <c r="I66" s="163" t="s">
        <v>2267</v>
      </c>
    </row>
    <row r="67" spans="1:9">
      <c r="A67" s="437" t="s">
        <v>3798</v>
      </c>
      <c r="B67" s="38" t="s">
        <v>3796</v>
      </c>
      <c r="E67" s="35"/>
      <c r="F67" s="147"/>
      <c r="G67" s="164">
        <f ca="1">GetCatalogValue(ID_AUTO,"ConstanteAutoConIva",INDIRECT(G27))</f>
        <v>2538.48</v>
      </c>
      <c r="H67" s="202"/>
      <c r="I67" s="165" t="s">
        <v>2268</v>
      </c>
    </row>
    <row r="68" spans="1:9">
      <c r="A68" s="143" t="s">
        <v>4</v>
      </c>
      <c r="B68" s="268" t="str">
        <f ca="1">IF(B65,B66,B67)</f>
        <v>COMBO_SI_NO</v>
      </c>
      <c r="E68" s="35"/>
      <c r="F68" s="147"/>
      <c r="G68" s="158"/>
      <c r="H68" s="156">
        <f ca="1">GetCatalogValue(ID_MODELO,"ColumnaTarifa",C_MODELO_AÑO)</f>
        <v>0</v>
      </c>
      <c r="I68" s="166" t="s">
        <v>1613</v>
      </c>
    </row>
    <row r="69" spans="1:9">
      <c r="E69" s="35"/>
      <c r="F69" s="147"/>
      <c r="G69" s="158"/>
      <c r="H69" s="202"/>
      <c r="I69" s="203"/>
    </row>
    <row r="70" spans="1:9">
      <c r="A70" s="177" t="s">
        <v>5</v>
      </c>
      <c r="B70" s="349"/>
      <c r="E70" s="35"/>
      <c r="F70" s="147"/>
      <c r="G70" s="206" t="s">
        <v>2214</v>
      </c>
      <c r="H70" s="207" t="s">
        <v>2324</v>
      </c>
      <c r="I70" s="208"/>
    </row>
    <row r="71" spans="1:9">
      <c r="A71" s="35" t="s">
        <v>3794</v>
      </c>
      <c r="B71" s="38" t="b">
        <f ca="1">CondicionAutoEsNuevo?</f>
        <v>1</v>
      </c>
      <c r="E71" s="35" t="s">
        <v>2269</v>
      </c>
      <c r="F71" s="196">
        <f ca="1">CHOOSE(ID_CONDICION_AUTO,G71,H71)</f>
        <v>487.2</v>
      </c>
      <c r="G71" s="204">
        <f ca="1">GetCatalogValue(ID_AUTO,"GastosExpediciónAutoConIVA", INDIRECT(G27))</f>
        <v>487.2</v>
      </c>
      <c r="H71" s="205">
        <f>CONST_Gastos_Expedicion_Semi_Ant</f>
        <v>487.2</v>
      </c>
      <c r="I71" s="157"/>
    </row>
    <row r="72" spans="1:9">
      <c r="A72" s="437" t="s">
        <v>3797</v>
      </c>
      <c r="B72" s="38" t="s">
        <v>3795</v>
      </c>
      <c r="E72" s="35" t="s">
        <v>2257</v>
      </c>
      <c r="F72" s="197">
        <f ca="1">CHOOSE(ID_CONDICION_MODELO,G72,H72)</f>
        <v>0</v>
      </c>
      <c r="G72" s="175">
        <f ca="1">IF(EstadoIncluyeRcUsa?, GetCatalogValue(ID_TIPO_AUTO,G73,C_TARIFA_RC_EU), 0)</f>
        <v>0</v>
      </c>
      <c r="H72" s="176">
        <f ca="1">IF(EstadoIncluyeRcUsa?, GetCatalogValue(ID_TIPO_AUTO,H73,C_TARIFA_RC_EU), 0)</f>
        <v>0</v>
      </c>
      <c r="I72" s="157"/>
    </row>
    <row r="73" spans="1:9">
      <c r="A73" s="437" t="s">
        <v>3798</v>
      </c>
      <c r="B73" s="38" t="s">
        <v>3796</v>
      </c>
      <c r="E73" s="35"/>
      <c r="F73" s="147"/>
      <c r="G73" s="173" t="s">
        <v>1613</v>
      </c>
      <c r="H73" s="174" t="s">
        <v>3267</v>
      </c>
      <c r="I73" s="161" t="s">
        <v>2270</v>
      </c>
    </row>
    <row r="74" spans="1:9">
      <c r="A74" s="143" t="s">
        <v>4</v>
      </c>
      <c r="B74" s="268" t="str">
        <f ca="1">IF(B71,B72,B73)</f>
        <v>COMBO_SI_NO</v>
      </c>
      <c r="E74" s="35" t="s">
        <v>1639</v>
      </c>
      <c r="F74" s="198">
        <f ca="1">CHOOSE(ID_CONDICION_AUTO,G74,H74)</f>
        <v>348</v>
      </c>
      <c r="G74" s="175">
        <f ca="1">IF(G75, GetCatalogValue(ID_AUTO,"Auto Sust",INDIRECT(G27)), 0)</f>
        <v>348</v>
      </c>
      <c r="H74" s="704">
        <f ca="1">IF(ModeloEsAnterior?,0, GetCatalogValue(ID_AUTO,"Auto Sust",INDIRECT(G27)) )</f>
        <v>348</v>
      </c>
      <c r="I74" s="157"/>
    </row>
    <row r="75" spans="1:9">
      <c r="E75" s="35"/>
      <c r="F75" s="147"/>
      <c r="G75" s="164" t="b">
        <f ca="1">GetCatalogValue(ID_AUTO_SUST,"Valor",C_SI_NO)</f>
        <v>1</v>
      </c>
      <c r="H75" s="202"/>
      <c r="I75" s="165" t="s">
        <v>2271</v>
      </c>
    </row>
    <row r="76" spans="1:9">
      <c r="A76" s="213" t="s">
        <v>6</v>
      </c>
      <c r="B76" s="34"/>
      <c r="E76" s="35" t="s">
        <v>2453</v>
      </c>
      <c r="F76" s="198">
        <f ca="1">CHOOSE(ID_CONDICION_AUTO,G76,H76)</f>
        <v>308.58823125000004</v>
      </c>
      <c r="G76" s="175">
        <f ca="1">IF(Aplica_IndemVF?, Calculo_IndemnVF, 0)</f>
        <v>308.58823125000004</v>
      </c>
      <c r="H76" s="176">
        <f ca="1">IF(ModeloEsAnterior?,0, Calculo_IndemnVF_Seminuevos_Recientes )</f>
        <v>308.58823125000004</v>
      </c>
      <c r="I76" s="157"/>
    </row>
    <row r="77" spans="1:9">
      <c r="A77" s="143" t="s">
        <v>4</v>
      </c>
      <c r="B77" s="268" t="str">
        <f ca="1">IF(CondicionAutoEsNuevo?, "COMBO_INCREMENTO_RC", "COMBO_SOLO_NO" )</f>
        <v>COMBO_INCREMENTO_RC</v>
      </c>
      <c r="E77" s="35"/>
      <c r="F77" s="147"/>
      <c r="G77" s="164" t="b">
        <f ca="1">OR(GetCatalogValue(ID_INDEMN_AÑO1,"Porcentaje",C_Indem_Valor_Factura))</f>
        <v>1</v>
      </c>
      <c r="H77" s="202"/>
      <c r="I77" s="165" t="s">
        <v>2271</v>
      </c>
    </row>
    <row r="78" spans="1:9">
      <c r="E78" s="35"/>
      <c r="F78" s="147"/>
      <c r="G78" s="164">
        <f ca="1" xml:space="preserve"> ValorFactura * Tarifa_IndemnVF * Porcentaje_Base * EstadoFactorDescuento</f>
        <v>308.58823125000004</v>
      </c>
      <c r="H78" s="202">
        <f ca="1" xml:space="preserve"> ValorFactura * Tarifa_IndemnVF_Seminuevos_Recientes * Porcentaje_Base * EstadoFactorDescuento</f>
        <v>308.58823125000004</v>
      </c>
      <c r="I78" s="165" t="s">
        <v>1768</v>
      </c>
    </row>
    <row r="79" spans="1:9">
      <c r="E79" s="35"/>
      <c r="F79" s="147"/>
      <c r="G79" s="164">
        <f ca="1">GetCatalogValue(ID_INDEMN_AÑO1,"Porcentaje",C_Indem_Valor_Factura)</f>
        <v>4.4999999999999998E-2</v>
      </c>
      <c r="H79" s="202">
        <f>GetCatalogValue(1,"Porcentaje",C_Indem_Valor_Factura)</f>
        <v>4.4999999999999998E-2</v>
      </c>
      <c r="I79" s="165" t="s">
        <v>9</v>
      </c>
    </row>
    <row r="80" spans="1:9">
      <c r="A80" s="213" t="s">
        <v>2452</v>
      </c>
      <c r="B80" s="34"/>
      <c r="E80" s="35" t="s">
        <v>1640</v>
      </c>
      <c r="F80" s="198">
        <f ca="1">CHOOSE(ID_CONDICION_AUTO,G80,H80)</f>
        <v>0</v>
      </c>
      <c r="G80" s="175">
        <f ca="1">IF(G81, GetCatalogValue(ID_AUTO,G82,INDIRECT(G27)), 0)</f>
        <v>0</v>
      </c>
      <c r="H80" s="176">
        <v>0</v>
      </c>
      <c r="I80" s="157"/>
    </row>
    <row r="81" spans="1:11">
      <c r="A81" s="33" t="s">
        <v>3801</v>
      </c>
      <c r="B81" s="34" t="b">
        <f ca="1">CondicionAutoEsNuevo?</f>
        <v>1</v>
      </c>
      <c r="E81" s="35"/>
      <c r="F81" s="147"/>
      <c r="G81" s="164" t="b">
        <f ca="1">GetCatalogValue(ID_INCREMENTO_RC,"Aplica",C_ADIC_INCREMENTO_RC)</f>
        <v>0</v>
      </c>
      <c r="H81" s="202"/>
      <c r="I81" s="165" t="s">
        <v>2271</v>
      </c>
      <c r="K81" s="705"/>
    </row>
    <row r="82" spans="1:11">
      <c r="A82" s="438" t="s">
        <v>3802</v>
      </c>
      <c r="B82" s="38" t="b">
        <f ca="1">CondicionAutoEs3.5T?</f>
        <v>0</v>
      </c>
      <c r="E82" s="35"/>
      <c r="F82" s="18"/>
      <c r="G82" s="167" t="str">
        <f ca="1">GetCatalogValue(ID_INCREMENTO_RC,"Tarifa",C_ADIC_INCREMENTO_RC)</f>
        <v>N/A</v>
      </c>
      <c r="H82" s="188"/>
      <c r="I82" s="163" t="s">
        <v>2270</v>
      </c>
    </row>
    <row r="83" spans="1:11">
      <c r="A83" s="437" t="s">
        <v>3797</v>
      </c>
      <c r="B83" s="38" t="s">
        <v>3804</v>
      </c>
      <c r="E83" s="35" t="s">
        <v>3812</v>
      </c>
      <c r="F83" s="198">
        <f ca="1">CHOOSE(ID_CONDICION_AUTO,G83,H83)</f>
        <v>336.67839999999967</v>
      </c>
      <c r="G83" s="175">
        <f ca="1">IF(G84,G85,0)</f>
        <v>336.67839999999967</v>
      </c>
      <c r="H83" s="176">
        <f ca="1">IF(ModeloEsAnterior?,0, GetCatalogValue(ID_AUTO,"Servicio Premium",INDIRECT(G27)) )</f>
        <v>336.67839999999967</v>
      </c>
      <c r="I83" s="157"/>
    </row>
    <row r="84" spans="1:11">
      <c r="A84" s="437" t="s">
        <v>3798</v>
      </c>
      <c r="B84" s="38" t="s">
        <v>3803</v>
      </c>
      <c r="E84" s="35"/>
      <c r="F84" s="147"/>
      <c r="G84" s="443" t="b">
        <f ca="1">GetCatalogValue(ID_SERVICIO_PREMIUM,"Valor",C_SI_NO)</f>
        <v>1</v>
      </c>
      <c r="H84" s="202"/>
      <c r="I84" s="445" t="s">
        <v>2271</v>
      </c>
    </row>
    <row r="85" spans="1:11">
      <c r="A85" s="439" t="s">
        <v>3798</v>
      </c>
      <c r="B85" s="40" t="s">
        <v>3796</v>
      </c>
      <c r="E85" s="35"/>
      <c r="F85" s="18"/>
      <c r="G85" s="447">
        <f ca="1">G86*G87</f>
        <v>336.67839999999967</v>
      </c>
      <c r="I85" s="446" t="s">
        <v>3817</v>
      </c>
    </row>
    <row r="86" spans="1:11">
      <c r="A86" s="143" t="s">
        <v>4</v>
      </c>
      <c r="B86" s="268" t="str">
        <f ca="1">IF(B81,IF(B82,B83,B84),B85)</f>
        <v>COMBO_Indem_Valor_Factura</v>
      </c>
      <c r="E86" s="35"/>
      <c r="F86" s="37"/>
      <c r="G86" s="444">
        <f ca="1">VLOOKUP(ID_AUTO,C_AUTO,17)</f>
        <v>336.67839999999967</v>
      </c>
      <c r="H86" s="188"/>
      <c r="I86" s="446" t="s">
        <v>3813</v>
      </c>
    </row>
    <row r="87" spans="1:11">
      <c r="E87" s="35"/>
      <c r="G87" s="444">
        <f ca="1">MIN(G88,G89)</f>
        <v>1</v>
      </c>
      <c r="H87" s="18"/>
      <c r="I87" s="446" t="s">
        <v>3814</v>
      </c>
    </row>
    <row r="88" spans="1:11">
      <c r="E88" s="35"/>
      <c r="G88" s="444">
        <f ca="1">MultianualFactorAuto</f>
        <v>1</v>
      </c>
      <c r="I88" s="446" t="s">
        <v>3815</v>
      </c>
    </row>
    <row r="89" spans="1:11">
      <c r="A89" s="213" t="s">
        <v>3819</v>
      </c>
      <c r="B89" s="34"/>
      <c r="E89" s="35"/>
      <c r="G89" s="444">
        <f ca="1">VLOOKUP(VLOOKUP("Factor 24 Meses",C_FACTOR_MULTIANUAL_DESC,2),C_FACTOR_MULTIANUAL,4)</f>
        <v>1.9689000000000001</v>
      </c>
      <c r="I89" s="446" t="s">
        <v>3816</v>
      </c>
    </row>
    <row r="90" spans="1:11">
      <c r="A90" s="35" t="s">
        <v>3800</v>
      </c>
      <c r="B90" s="38" t="b">
        <f ca="1">NOT(CondicionAutoEs3.5T?)</f>
        <v>1</v>
      </c>
      <c r="E90" s="35"/>
      <c r="F90" s="37"/>
      <c r="G90" s="35"/>
      <c r="H90" s="18"/>
      <c r="I90" s="77"/>
    </row>
    <row r="91" spans="1:11">
      <c r="A91" s="437" t="s">
        <v>3797</v>
      </c>
      <c r="B91" s="38" t="s">
        <v>3795</v>
      </c>
      <c r="E91" s="35" t="s">
        <v>2273</v>
      </c>
      <c r="F91" s="37">
        <f ca="1">( ((DañosPrimaBase + DañosIncrementoRC ) * EstadoFactorDescuento) + DañosMontoRcUsa + DañosAutoSustituto ) * MultianualFactorAuto</f>
        <v>8855.5282500000012</v>
      </c>
      <c r="G91" s="35"/>
      <c r="H91" s="18"/>
      <c r="I91" s="77"/>
    </row>
    <row r="92" spans="1:11">
      <c r="A92" s="437" t="s">
        <v>3798</v>
      </c>
      <c r="B92" s="38" t="s">
        <v>3796</v>
      </c>
      <c r="E92" s="35" t="s">
        <v>2274</v>
      </c>
      <c r="F92" s="37">
        <f ca="1">DañosGastosExpedicion + (DañosValFac1erAño) + DañosServicioPremium</f>
        <v>1132.4666312499999</v>
      </c>
      <c r="G92" s="35"/>
      <c r="H92" s="18"/>
      <c r="I92" s="77"/>
    </row>
    <row r="93" spans="1:11">
      <c r="A93" s="143" t="s">
        <v>4</v>
      </c>
      <c r="B93" s="268" t="str">
        <f ca="1">IF(B90,B91,B92)</f>
        <v>COMBO_SI_NO</v>
      </c>
      <c r="E93" s="35" t="s">
        <v>2271</v>
      </c>
      <c r="F93" s="37" t="b">
        <f ca="1">ValorFactura &lt;&gt; 0</f>
        <v>1</v>
      </c>
      <c r="G93" s="35"/>
      <c r="H93" s="18"/>
      <c r="I93" s="77"/>
    </row>
    <row r="94" spans="1:11">
      <c r="E94" s="178" t="s">
        <v>2275</v>
      </c>
      <c r="F94" s="434">
        <f ca="1">( DañosComponenteConMulti + DañosComponenteSinMulti) * DañosAplica?</f>
        <v>9987.9948812500006</v>
      </c>
      <c r="G94" s="39"/>
      <c r="H94" s="133"/>
      <c r="I94" s="78"/>
    </row>
    <row r="95" spans="1:11">
      <c r="E95" s="181"/>
      <c r="F95" s="182"/>
      <c r="G95" s="181"/>
      <c r="H95" s="181"/>
      <c r="I95" s="71"/>
    </row>
    <row r="96" spans="1:11">
      <c r="A96" s="665" t="s">
        <v>5078</v>
      </c>
      <c r="B96" s="34"/>
      <c r="E96" s="177" t="s">
        <v>1641</v>
      </c>
      <c r="F96" s="142" t="s">
        <v>1638</v>
      </c>
      <c r="G96" s="18"/>
      <c r="H96" s="18"/>
      <c r="I96" s="36"/>
    </row>
    <row r="97" spans="1:9">
      <c r="A97" s="33" t="s">
        <v>10529</v>
      </c>
      <c r="B97" s="34" t="b">
        <f ca="1">AND(CondicionAutoEsNuevo?,NOT(Tipo_Persona.Descripción="Moral"))</f>
        <v>1</v>
      </c>
      <c r="E97" s="33" t="s">
        <v>493</v>
      </c>
      <c r="F97" s="137">
        <f ca="1">ID_TIPO_PERSONA</f>
        <v>1</v>
      </c>
      <c r="G97" s="18"/>
      <c r="H97" s="18"/>
      <c r="I97" s="36"/>
    </row>
    <row r="98" spans="1:9">
      <c r="A98" s="437" t="s">
        <v>3797</v>
      </c>
      <c r="B98" s="38" t="s">
        <v>5089</v>
      </c>
      <c r="E98" s="35" t="s">
        <v>494</v>
      </c>
      <c r="F98" s="77" t="str">
        <f ca="1">GetCatalogValue(ID_TIPO_PERSONA,"Descripción",C_TIPO_PERSONA)</f>
        <v>Física</v>
      </c>
      <c r="G98" s="18"/>
      <c r="H98" s="18"/>
      <c r="I98" s="36"/>
    </row>
    <row r="99" spans="1:9">
      <c r="A99" s="437" t="s">
        <v>3798</v>
      </c>
      <c r="B99" s="38" t="s">
        <v>5088</v>
      </c>
      <c r="E99" s="155" t="s">
        <v>2277</v>
      </c>
      <c r="F99" s="77" t="b">
        <f ca="1">GetCatalogValue(ID_TIPO_PERSONA,"AplicaSeguroVida",C_TIPO_PERSONA)</f>
        <v>1</v>
      </c>
      <c r="G99" s="18"/>
      <c r="H99" s="18"/>
      <c r="I99" s="36"/>
    </row>
    <row r="100" spans="1:9">
      <c r="A100" s="143" t="s">
        <v>4</v>
      </c>
      <c r="B100" s="268" t="str">
        <f ca="1">IF(B97,B98,B99)</f>
        <v>COMBO_Financiado_Noaplica</v>
      </c>
      <c r="E100" s="39" t="s">
        <v>2276</v>
      </c>
      <c r="F100" s="78" t="b">
        <f ca="1">GetCatalogValue(ID_TIPO_PERSONA,"AplicaIvaIntereses",C_TIPO_PERSONA)</f>
        <v>1</v>
      </c>
      <c r="G100" s="18"/>
      <c r="H100" s="18"/>
      <c r="I100" s="36"/>
    </row>
    <row r="101" spans="1:9">
      <c r="A101" s="41"/>
      <c r="B101" s="41"/>
      <c r="E101" s="18"/>
      <c r="F101" s="37"/>
    </row>
    <row r="102" spans="1:9">
      <c r="A102" s="41"/>
      <c r="B102" s="41"/>
      <c r="E102" s="213" t="s">
        <v>1682</v>
      </c>
      <c r="F102" s="148"/>
    </row>
    <row r="103" spans="1:9">
      <c r="A103" s="41"/>
      <c r="B103" s="41"/>
      <c r="E103" s="42" t="s">
        <v>447</v>
      </c>
      <c r="F103" s="214">
        <f xml:space="preserve"> CONST_Cuota_Base_Vida</f>
        <v>4.8300000000000001E-3</v>
      </c>
    </row>
    <row r="104" spans="1:9">
      <c r="A104" s="41"/>
      <c r="B104" s="41"/>
      <c r="E104" s="155" t="s">
        <v>448</v>
      </c>
      <c r="F104" s="215">
        <f xml:space="preserve"> CONST_Constante_Base_Vida</f>
        <v>350</v>
      </c>
    </row>
    <row r="105" spans="1:9">
      <c r="A105" s="41"/>
      <c r="B105" s="41"/>
      <c r="E105" s="35" t="s">
        <v>2273</v>
      </c>
      <c r="F105" s="216">
        <f ca="1" xml:space="preserve"> ( MontoFinanciarAuto * Porcentaje_Cuota_Base_Vida ) * MultianualFactorVida</f>
        <v>1086.75</v>
      </c>
    </row>
    <row r="106" spans="1:9">
      <c r="A106" s="41"/>
      <c r="B106" s="41"/>
      <c r="E106" s="155" t="s">
        <v>449</v>
      </c>
      <c r="F106" s="216">
        <f xml:space="preserve"> Constante_Base_Vida</f>
        <v>350</v>
      </c>
    </row>
    <row r="107" spans="1:9">
      <c r="A107" s="41"/>
      <c r="B107" s="41"/>
      <c r="E107" s="155" t="s">
        <v>2271</v>
      </c>
      <c r="F107" s="38" t="b">
        <f ca="1">AND(TipoPersonaAplicaSeguroVida?, ValorFactura &lt;&gt;0)</f>
        <v>1</v>
      </c>
    </row>
    <row r="108" spans="1:9">
      <c r="A108" s="41"/>
      <c r="B108" s="41"/>
      <c r="E108" s="81" t="s">
        <v>1682</v>
      </c>
      <c r="F108" s="435">
        <f ca="1">( VidaComponenteConMulti + VidaComponenteSinMulti ) * VidaAplica?</f>
        <v>1436.75</v>
      </c>
    </row>
    <row r="109" spans="1:9">
      <c r="A109" s="41"/>
      <c r="B109" s="41"/>
    </row>
    <row r="110" spans="1:9">
      <c r="A110" s="41"/>
      <c r="B110" s="41"/>
      <c r="E110" s="213" t="s">
        <v>486</v>
      </c>
      <c r="F110" s="148"/>
    </row>
    <row r="111" spans="1:9">
      <c r="A111" s="41"/>
      <c r="B111" s="41"/>
      <c r="E111" s="217" t="s">
        <v>450</v>
      </c>
      <c r="F111" s="436">
        <f ca="1" xml:space="preserve"> PrimaDaños + PrimaVida</f>
        <v>11424.744881250001</v>
      </c>
    </row>
    <row r="112" spans="1:9">
      <c r="A112" s="41"/>
      <c r="B112" s="41"/>
    </row>
    <row r="113" spans="1:13">
      <c r="A113" s="41"/>
      <c r="B113" s="41"/>
      <c r="E113" s="213" t="s">
        <v>499</v>
      </c>
      <c r="F113" s="148"/>
    </row>
    <row r="114" spans="1:13">
      <c r="A114" s="41"/>
      <c r="B114" s="41"/>
      <c r="E114" s="33" t="s">
        <v>493</v>
      </c>
      <c r="F114" s="219">
        <f ca="1">ID_IVA</f>
        <v>1</v>
      </c>
    </row>
    <row r="115" spans="1:13">
      <c r="A115" s="41"/>
      <c r="B115" s="41"/>
      <c r="E115" s="35" t="s">
        <v>494</v>
      </c>
      <c r="F115" s="220" t="str">
        <f ca="1">GetCatalogValue(ID_IVA,"Descripción",C_IVA)</f>
        <v>No Frontera</v>
      </c>
    </row>
    <row r="116" spans="1:13">
      <c r="A116" s="41"/>
      <c r="B116" s="41"/>
      <c r="E116" s="35" t="s">
        <v>500</v>
      </c>
      <c r="F116" s="76">
        <f ca="1">GetCatalogValue(ID_IVA,"TasaIva",C_IVA)</f>
        <v>0.16</v>
      </c>
    </row>
    <row r="117" spans="1:13">
      <c r="A117" s="41"/>
      <c r="B117" s="41"/>
      <c r="E117" s="35" t="s">
        <v>457</v>
      </c>
      <c r="F117" s="651">
        <f ca="1">IvaNominal - CONST_DESCUENTO_IVA_INTERES</f>
        <v>0.12</v>
      </c>
    </row>
    <row r="118" spans="1:13">
      <c r="A118" s="41"/>
      <c r="B118" s="41"/>
      <c r="E118" s="39" t="s">
        <v>458</v>
      </c>
      <c r="F118" s="218">
        <f ca="1">IvaDeflactada * AplicaIvaIntereses?</f>
        <v>0.12</v>
      </c>
    </row>
    <row r="119" spans="1:13">
      <c r="A119" s="41"/>
      <c r="B119" s="41"/>
    </row>
    <row r="120" spans="1:13">
      <c r="A120" s="41"/>
      <c r="B120" s="41"/>
      <c r="E120" s="177" t="s">
        <v>5092</v>
      </c>
      <c r="F120" s="142" t="s">
        <v>1638</v>
      </c>
      <c r="L120" s="14"/>
    </row>
    <row r="121" spans="1:13">
      <c r="A121" s="41"/>
      <c r="B121" s="41"/>
      <c r="E121" s="33" t="s">
        <v>2271</v>
      </c>
      <c r="F121" s="34" t="b">
        <f>SELECCION_GTIAEXT="Financiado"</f>
        <v>1</v>
      </c>
      <c r="I121"/>
    </row>
    <row r="122" spans="1:13">
      <c r="A122" s="41"/>
      <c r="B122" s="41"/>
      <c r="E122" s="39" t="s">
        <v>5093</v>
      </c>
      <c r="F122" s="78">
        <f>CapturaGtiaExt * Valor_Garantía_Extendida.Aplica?</f>
        <v>10000</v>
      </c>
    </row>
    <row r="123" spans="1:13">
      <c r="A123" s="41"/>
      <c r="B123" s="41"/>
    </row>
    <row r="124" spans="1:13">
      <c r="E124" s="213" t="s">
        <v>451</v>
      </c>
      <c r="F124" s="148"/>
    </row>
    <row r="125" spans="1:13">
      <c r="E125" s="33" t="s">
        <v>452</v>
      </c>
      <c r="F125" s="74">
        <f ca="1" xml:space="preserve"> ValorFactura * PorcentajeEnganche</f>
        <v>25000</v>
      </c>
    </row>
    <row r="126" spans="1:13">
      <c r="E126" s="35" t="s">
        <v>460</v>
      </c>
      <c r="F126" s="75">
        <f ca="1" xml:space="preserve"> MontoEnganche + AportacionAdicional</f>
        <v>25000</v>
      </c>
    </row>
    <row r="127" spans="1:13">
      <c r="E127" s="39" t="s">
        <v>502</v>
      </c>
      <c r="F127" s="79">
        <f ca="1" xml:space="preserve"> ValorFactura - MontoAnticipoAuto</f>
        <v>225000</v>
      </c>
      <c r="G127" s="39" t="s">
        <v>3313</v>
      </c>
      <c r="H127" s="79">
        <v>25000</v>
      </c>
    </row>
    <row r="128" spans="1:13">
      <c r="A128" s="41"/>
      <c r="B128" s="41"/>
      <c r="E128" s="33" t="s">
        <v>454</v>
      </c>
      <c r="F128" s="428">
        <f ca="1" xml:space="preserve"> PrimaTotalSeguros * SeguroEsFinanciado?</f>
        <v>0</v>
      </c>
      <c r="L128" s="710"/>
      <c r="M128" s="41"/>
    </row>
    <row r="129" spans="1:13">
      <c r="A129" s="41"/>
      <c r="B129" s="41"/>
      <c r="E129" s="35" t="s">
        <v>453</v>
      </c>
      <c r="F129" s="215" t="str">
        <f ca="1" xml:space="preserve"> TEXT(PrimaTotalSeguros - MontoFinanciarSeguros,"$#,##0.00")</f>
        <v>$11,424.74</v>
      </c>
      <c r="K129" s="41"/>
      <c r="L129" s="41"/>
      <c r="M129" s="41"/>
    </row>
    <row r="130" spans="1:13">
      <c r="A130" s="41"/>
      <c r="B130" s="41"/>
      <c r="E130" s="39" t="s">
        <v>455</v>
      </c>
      <c r="F130" s="79">
        <f ca="1">PrimaVida * SeguroEsFinanciado?</f>
        <v>0</v>
      </c>
      <c r="K130" s="41"/>
      <c r="L130" s="41"/>
      <c r="M130" s="41"/>
    </row>
    <row r="131" spans="1:13">
      <c r="A131" s="41"/>
      <c r="B131" s="41"/>
      <c r="E131" s="70" t="s">
        <v>505</v>
      </c>
      <c r="F131" s="106">
        <f ca="1" xml:space="preserve"> MontoFinanciarAuto + MontoFinanciarSeguros+MontoGtiaExt</f>
        <v>235000</v>
      </c>
      <c r="K131" s="41"/>
      <c r="L131" s="41"/>
      <c r="M131" s="41"/>
    </row>
    <row r="132" spans="1:13">
      <c r="A132" s="41"/>
      <c r="B132" s="41"/>
      <c r="E132" s="70" t="s">
        <v>456</v>
      </c>
      <c r="F132" s="106">
        <f ca="1">MontoFinanciarTotal * CapturaPorcentajeComisionApertura * (1+IvaNominal)</f>
        <v>6814.9999999999991</v>
      </c>
      <c r="K132" s="41"/>
      <c r="L132" s="41"/>
      <c r="M132" s="41"/>
    </row>
    <row r="133" spans="1:13">
      <c r="A133" s="41"/>
      <c r="B133" s="41"/>
      <c r="G133" s="432"/>
      <c r="H133" s="709"/>
      <c r="K133" s="41"/>
      <c r="L133" s="41"/>
      <c r="M133" s="41"/>
    </row>
    <row r="134" spans="1:13">
      <c r="E134" s="70" t="s">
        <v>461</v>
      </c>
      <c r="F134" s="221">
        <f ca="1">IF(ValorFactura=0, 0, MontoAnticipoAuto/ValorFactura)</f>
        <v>0.1</v>
      </c>
      <c r="K134" s="41"/>
      <c r="L134" s="41"/>
      <c r="M134" s="41"/>
    </row>
    <row r="135" spans="1:13">
      <c r="K135" s="41"/>
      <c r="L135" s="41"/>
      <c r="M135" s="41"/>
    </row>
    <row r="136" spans="1:13">
      <c r="E136" s="213" t="s">
        <v>504</v>
      </c>
      <c r="F136" s="148"/>
      <c r="K136" s="41"/>
      <c r="L136" s="711"/>
      <c r="M136" s="41"/>
    </row>
    <row r="137" spans="1:13">
      <c r="E137" s="39" t="s">
        <v>504</v>
      </c>
      <c r="F137" s="222">
        <f ca="1">TIA.Tasa_Interés_Anual</f>
        <v>0.129</v>
      </c>
      <c r="I137"/>
      <c r="K137" s="41"/>
      <c r="L137" s="41"/>
      <c r="M137" s="41"/>
    </row>
    <row r="138" spans="1:13">
      <c r="I138"/>
      <c r="K138" s="41"/>
      <c r="L138" s="41"/>
      <c r="M138" s="41"/>
    </row>
    <row r="139" spans="1:13">
      <c r="E139" s="177" t="s">
        <v>459</v>
      </c>
      <c r="F139" s="142"/>
      <c r="K139" s="41"/>
      <c r="L139" s="41"/>
      <c r="M139" s="41"/>
    </row>
    <row r="140" spans="1:13">
      <c r="E140" s="33" t="s">
        <v>1664</v>
      </c>
      <c r="F140" s="137">
        <f ca="1">GetCatalogValue(ID_PLAZO,"EnMeses",C_PLAZO)</f>
        <v>12</v>
      </c>
      <c r="G140" s="411" t="s">
        <v>5126</v>
      </c>
      <c r="K140" s="41"/>
      <c r="L140" s="41"/>
      <c r="M140" s="41"/>
    </row>
    <row r="141" spans="1:13">
      <c r="E141" s="35" t="s">
        <v>1677</v>
      </c>
      <c r="F141" s="77">
        <f ca="1">GetCatalogValue(ID_FRECUENCIA,"PeriodosPorAño",C_FRECUENCIA)</f>
        <v>12</v>
      </c>
      <c r="K141" s="41"/>
      <c r="L141" s="41"/>
      <c r="M141" s="41"/>
    </row>
    <row r="142" spans="1:13">
      <c r="E142" s="81" t="s">
        <v>1698</v>
      </c>
      <c r="F142" s="78">
        <f ca="1" xml:space="preserve"> PlazoEnMeses / CONST_MESES_EN_AÑO * PeriodosPorAño</f>
        <v>12</v>
      </c>
      <c r="L142" s="41"/>
      <c r="M142" s="41"/>
    </row>
    <row r="143" spans="1:13">
      <c r="K143" s="41"/>
      <c r="L143" s="41"/>
      <c r="M143" s="41"/>
    </row>
    <row r="144" spans="1:13">
      <c r="E144" s="213" t="s">
        <v>463</v>
      </c>
      <c r="F144" s="148"/>
      <c r="K144" s="41"/>
    </row>
    <row r="145" spans="5:9">
      <c r="E145" s="217" t="s">
        <v>2199</v>
      </c>
      <c r="F145" s="223">
        <f ca="1">PMT( TasaInteres/PeriodosPorAño * (1+IvaParaIntereses), PlazoEnMeses, -MontoFinanciarAuto-MontoGtiaExt )</f>
        <v>21149.540739259039</v>
      </c>
    </row>
    <row r="146" spans="5:9">
      <c r="E146" s="42" t="s">
        <v>464</v>
      </c>
      <c r="F146" s="137">
        <f ca="1">IF(SeguroEsMultianual?, PlazoEnMeses, CONST_MESES_EN_AÑO)</f>
        <v>12</v>
      </c>
    </row>
    <row r="147" spans="5:9">
      <c r="E147" s="81" t="s">
        <v>465</v>
      </c>
      <c r="F147" s="224">
        <f ca="1">PMT(TasaInteres/PeriodosPorAño*(1+IvaParaIntereses),F146,-MontoFinanciarSeguros)</f>
        <v>0</v>
      </c>
    </row>
    <row r="148" spans="5:9">
      <c r="E148" s="217" t="s">
        <v>466</v>
      </c>
      <c r="F148" s="225">
        <f ca="1" xml:space="preserve"> PagoAuto + PagoSeguro</f>
        <v>21149.540739259039</v>
      </c>
    </row>
    <row r="150" spans="5:9">
      <c r="E150" s="213" t="s">
        <v>476</v>
      </c>
      <c r="F150" s="148"/>
      <c r="G150" s="413" t="s">
        <v>3296</v>
      </c>
      <c r="H150">
        <f ca="1">IF(OR(ID_AUTO_SUST=1,ID_INCREMENTO_RC&gt;0,ID_INDEMN_AÑO1&gt;1,ID_SERVICIO_PREMIUM=1),1,0)</f>
        <v>1</v>
      </c>
      <c r="I150" s="413" t="s">
        <v>4282</v>
      </c>
    </row>
    <row r="151" spans="5:9">
      <c r="E151" s="227" t="s">
        <v>503</v>
      </c>
      <c r="F151" s="137"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3299</v>
      </c>
    </row>
    <row r="152" spans="5:9">
      <c r="E152" s="228" t="s">
        <v>1768</v>
      </c>
      <c r="F152" s="75" t="str">
        <f ca="1">TEXT(MontoFinanciarSeguros,"$#,##0.00")</f>
        <v>$0.00</v>
      </c>
      <c r="I152"/>
    </row>
    <row r="153" spans="5:9">
      <c r="E153" s="228" t="s">
        <v>1769</v>
      </c>
      <c r="F153" s="257" t="s">
        <v>4281</v>
      </c>
      <c r="G153" s="257" t="s">
        <v>3808</v>
      </c>
      <c r="H153" s="416" t="s">
        <v>3297</v>
      </c>
      <c r="I153" s="564" t="str">
        <f ca="1">IF(Contiene_cobertura_adicional=1,CONCATENATE($I$151,Leyenda_auto_sustituto,Layenda_Incremento_RC,Leyenda_Indemnizacion_valor_factura,Leyenda_cobertura_premium),"")</f>
        <v>Incluye la(s) siguiente(s) cobertura(s) adicional(es):</v>
      </c>
    </row>
    <row r="154" spans="5:9">
      <c r="E154" s="138" t="s">
        <v>474</v>
      </c>
      <c r="F154" s="226" t="str">
        <f ca="1">IF(ID_CONDICION_AUTO=1,IF(SeguroEsFinanciado?,CONCATENATE(F153,F151,F152,G151,"."),IF(ID_CALCULO_SEGURO&gt;5,CONCATENATE(F153,F151,MontoSeguroDeContado,G151,"."),"")),"")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c r="G154" t="str">
        <f ca="1">IF(SeguroEsFinanciado?,CONCATENATE(G153,F151,F152,"."),"")</f>
        <v/>
      </c>
      <c r="H154" s="416" t="s">
        <v>3298</v>
      </c>
      <c r="I154" s="414" t="str">
        <f ca="1">IF(Contiene_cobertura_adicional=1,CONCATENATE($I$151,Leyenda_auto_sustituto,Layenda_Incremento_RC,Leyenda_Indemnizacion_valor_factura,Leyenda_cobertura_premium,IF(ID_CALCULO_SEGURO&gt;=1,"")),"")</f>
        <v>Incluye la(s) siguiente(s) cobertura(s) adicional(es):</v>
      </c>
    </row>
    <row r="155" spans="5:9">
      <c r="E155" s="138" t="s">
        <v>475</v>
      </c>
      <c r="F155" s="226" t="str">
        <f ca="1">IF(SeguroEsFinanciado?,"Con Seguro " &amp; IF(SeguroEsMultianual?,"Multianual","Anual") &amp; " Financiado.","")</f>
        <v/>
      </c>
    </row>
    <row r="156" spans="5:9">
      <c r="E156" s="39" t="s">
        <v>491</v>
      </c>
      <c r="F156" s="258" t="str">
        <f ca="1">IF(AportacionAdicional&gt;0, CONCATENATE("+ Aportación adicional de ",TEXT(AportacionAdicional,"$#,##0.00")), "")</f>
        <v/>
      </c>
    </row>
    <row r="158" spans="5:9">
      <c r="F158" s="412" t="str">
        <f ca="1">IF(SeguroEsFinanciado?,CONCATENATE(F153,F151,F152,G151,"."),IF(ID_CALCULO_SEGURO&gt;5,CONCATENATE(F153,F151,MontoSeguroDeContado,G151,"."),""))</f>
        <v>* Costo del Seguro Banorte por el primer año por $11,424.74,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24"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I79"/>
  <sheetViews>
    <sheetView zoomScale="85" zoomScaleNormal="85" workbookViewId="0"/>
    <sheetView tabSelected="1" workbookViewId="1">
      <selection activeCell="E17" sqref="E17"/>
    </sheetView>
  </sheetViews>
  <sheetFormatPr defaultColWidth="9.140625" defaultRowHeight="15"/>
  <cols>
    <col min="1" max="2" width="21.42578125" customWidth="1"/>
    <col min="3" max="3" width="2.7109375" style="701" customWidth="1"/>
    <col min="4" max="4" width="19.85546875" style="701" customWidth="1"/>
    <col min="5" max="5" width="11" style="946" customWidth="1"/>
    <col min="6" max="6" width="11" style="827" customWidth="1"/>
    <col min="7" max="7" width="2.7109375" style="701" customWidth="1"/>
    <col min="8" max="9" width="18.42578125" customWidth="1"/>
    <col min="10" max="11" width="14.85546875" customWidth="1"/>
    <col min="12" max="14" width="9.140625" customWidth="1"/>
    <col min="15" max="15" width="11" bestFit="1" customWidth="1"/>
    <col min="16" max="16" width="11.85546875" bestFit="1" customWidth="1"/>
    <col min="18" max="18" width="11.42578125" bestFit="1" customWidth="1"/>
  </cols>
  <sheetData>
    <row r="1" spans="1:9" ht="20.25" thickBot="1">
      <c r="A1" s="12" t="s">
        <v>10632</v>
      </c>
      <c r="B1" s="12"/>
      <c r="C1" s="12"/>
      <c r="D1" s="12"/>
      <c r="E1" s="945"/>
      <c r="F1" s="84"/>
      <c r="G1" s="12"/>
      <c r="H1" s="12"/>
      <c r="I1" s="12"/>
    </row>
    <row r="2" spans="1:9" ht="15.75" thickTop="1">
      <c r="B2" s="701"/>
    </row>
    <row r="3" spans="1:9">
      <c r="A3" s="936" t="s">
        <v>10639</v>
      </c>
      <c r="B3" s="935"/>
      <c r="C3" s="87"/>
      <c r="D3" s="87"/>
      <c r="E3" s="87"/>
      <c r="F3" s="87"/>
      <c r="G3" s="87"/>
      <c r="H3" s="402" t="s">
        <v>10656</v>
      </c>
      <c r="I3" s="387"/>
    </row>
    <row r="4" spans="1:9">
      <c r="A4" s="937" t="s">
        <v>10640</v>
      </c>
      <c r="B4" s="87">
        <f>CapturaFechaCotizacion</f>
        <v>42181</v>
      </c>
      <c r="C4" s="827"/>
      <c r="D4" s="827"/>
      <c r="G4" s="827"/>
    </row>
    <row r="5" spans="1:9">
      <c r="A5" s="701" t="s">
        <v>10600</v>
      </c>
      <c r="B5" s="827" t="str">
        <f>PROD.Código</f>
        <v>AET</v>
      </c>
    </row>
    <row r="6" spans="1:9">
      <c r="A6" s="701" t="s">
        <v>1676</v>
      </c>
      <c r="B6" s="827" t="str">
        <f>SELECCION_FRECUENCIA</f>
        <v>Mensual</v>
      </c>
    </row>
    <row r="8" spans="1:9">
      <c r="A8" s="938" t="s">
        <v>501</v>
      </c>
      <c r="B8" s="939"/>
      <c r="H8" s="938" t="s">
        <v>10649</v>
      </c>
      <c r="I8" s="939"/>
    </row>
    <row r="9" spans="1:9">
      <c r="A9" s="701" t="s">
        <v>10647</v>
      </c>
      <c r="B9" s="827" t="s">
        <v>10648</v>
      </c>
      <c r="H9" s="188" t="s">
        <v>10642</v>
      </c>
      <c r="I9" s="186">
        <v>25</v>
      </c>
    </row>
    <row r="10" spans="1:9">
      <c r="A10" s="701" t="s">
        <v>10652</v>
      </c>
      <c r="B10" s="827" t="s">
        <v>10636</v>
      </c>
      <c r="H10" s="188" t="s">
        <v>10643</v>
      </c>
      <c r="I10" s="186">
        <v>30</v>
      </c>
    </row>
    <row r="11" spans="1:9">
      <c r="H11" s="188" t="s">
        <v>10644</v>
      </c>
      <c r="I11" s="186">
        <v>31</v>
      </c>
    </row>
    <row r="12" spans="1:9">
      <c r="A12" s="402" t="s">
        <v>489</v>
      </c>
      <c r="B12" s="387"/>
      <c r="H12" s="188" t="s">
        <v>10645</v>
      </c>
      <c r="I12" s="186">
        <v>3</v>
      </c>
    </row>
    <row r="13" spans="1:9">
      <c r="A13" s="701" t="s">
        <v>10641</v>
      </c>
      <c r="B13" s="410">
        <f>DAY(_Fecha_Cotización)</f>
        <v>26</v>
      </c>
      <c r="H13" s="188" t="s">
        <v>10646</v>
      </c>
      <c r="I13" s="186">
        <v>16</v>
      </c>
    </row>
    <row r="14" spans="1:9">
      <c r="A14" s="701" t="s">
        <v>10650</v>
      </c>
      <c r="B14" s="942" t="str">
        <f>CONCATENATE(_Etiqueta_Fechas_Pago, " ", _Frecuencia, " ", _Producto)</f>
        <v>Fechas Pago Mensual AET</v>
      </c>
      <c r="H14" s="120"/>
    </row>
    <row r="15" spans="1:9">
      <c r="A15" s="701" t="s">
        <v>10651</v>
      </c>
      <c r="B15" s="942" t="str">
        <f>CONCATENATE(_Etiqueta_Duración_Intereses, " ", _Frecuencia, " ", _Producto)</f>
        <v>Duración Intereses Mensual AET</v>
      </c>
      <c r="D15" s="940" t="s">
        <v>10655</v>
      </c>
      <c r="E15" s="948"/>
      <c r="F15" s="949"/>
    </row>
    <row r="17" spans="1:9">
      <c r="D17" s="943" t="s">
        <v>10653</v>
      </c>
      <c r="E17" s="950" t="str">
        <f>IF(Días_de_interés_para_Pago&gt;FREC.DiasPorPeriodo,"El monto de su primer pago será mayor que el resto, ya que incluye más días de interés.","")</f>
        <v/>
      </c>
      <c r="F17" s="111"/>
      <c r="G17" s="411"/>
    </row>
    <row r="18" spans="1:9">
      <c r="D18"/>
    </row>
    <row r="19" spans="1:9" ht="30">
      <c r="A19" s="944" t="s">
        <v>1702</v>
      </c>
      <c r="D19" s="941" t="s">
        <v>10635</v>
      </c>
      <c r="E19" s="947" t="str">
        <f>_Etiqueta_Fechas_Pago</f>
        <v>Fechas Pago</v>
      </c>
      <c r="F19" s="941" t="str">
        <f>_Etiqueta_Duración_Intereses</f>
        <v>Duración Intereses</v>
      </c>
      <c r="G19" s="188"/>
      <c r="H19" s="934" t="s">
        <v>10637</v>
      </c>
      <c r="I19" s="934" t="s">
        <v>10638</v>
      </c>
    </row>
    <row r="20" spans="1:9">
      <c r="A20" s="116">
        <v>1</v>
      </c>
      <c r="D20" s="116">
        <f>FREC.DiasPorPeriodo</f>
        <v>30</v>
      </c>
      <c r="E20" s="946">
        <f>INDEX(_Datos 20:20,,MATCH(_Búsqueda_Fechas_Pago, _Datos _Headers,0))</f>
        <v>42201</v>
      </c>
      <c r="F20" s="827">
        <f>INDEX(_Datos 20:20,,MATCH(_Búsqueda_Duración, _Datos _Headers,0))</f>
        <v>20</v>
      </c>
      <c r="H20" s="83">
        <f>IF(DIA_COTIZACIÓN&lt;CONST_CORTE_2,EOMONTH(B4,0)+CONST_CORTE_1,EOMONTH(B4,0)+CONST_CORTE_2)</f>
        <v>42201</v>
      </c>
      <c r="I20" s="67">
        <f>H20-B4</f>
        <v>20</v>
      </c>
    </row>
    <row r="21" spans="1:9">
      <c r="A21" s="14">
        <v>2</v>
      </c>
      <c r="D21" s="14">
        <f>FREC.DiasPorPeriodo</f>
        <v>30</v>
      </c>
      <c r="E21" s="946">
        <f>INDEX(_Datos 21:21,,MATCH(_Búsqueda_Fechas_Pago, _Datos _Headers,0))</f>
        <v>42232</v>
      </c>
      <c r="F21" s="827">
        <f>INDEX(_Datos 21:21,,MATCH(_Búsqueda_Duración, _Datos _Headers,0))</f>
        <v>30</v>
      </c>
      <c r="H21" s="82">
        <f t="shared" ref="H21:H52" si="0">IF(DAY(H20)&gt;=Const_Dia_Corte_Aniversario,FinMesPropia(H20,1)+1,FinMesPropia(H20,0)+DAY(H20))</f>
        <v>42232</v>
      </c>
      <c r="I21" s="14">
        <f>CONST_DIAS_BASE_INTERES + IF(DAY(_Fecha_Pago _Anterior)&gt;=Const_Dia_Corte_Aniversario,MAX(CONST_DIAS_LIMITE-DAY(_Fecha_Pago _Anterior),1))</f>
        <v>30</v>
      </c>
    </row>
    <row r="22" spans="1:9">
      <c r="A22" s="14">
        <v>3</v>
      </c>
      <c r="D22" s="14">
        <f>FREC.DiasPorPeriodo</f>
        <v>30</v>
      </c>
      <c r="E22" s="946">
        <f>INDEX(_Datos 22:22,,MATCH(_Búsqueda_Fechas_Pago, _Datos _Headers,0))</f>
        <v>42263</v>
      </c>
      <c r="F22" s="827">
        <f>INDEX(_Datos 22:22,,MATCH(_Búsqueda_Duración, _Datos _Headers,0))</f>
        <v>30</v>
      </c>
      <c r="H22" s="82">
        <f t="shared" si="0"/>
        <v>42263</v>
      </c>
      <c r="I22" s="14">
        <f>CONST_DIAS_BASE_INTERES + IF(DAY(_Fecha_Pago _Anterior)&gt;=Const_Dia_Corte_Aniversario,MAX(CONST_DIAS_LIMITE-DAY(_Fecha_Pago _Anterior),1))</f>
        <v>30</v>
      </c>
    </row>
    <row r="23" spans="1:9">
      <c r="A23" s="14">
        <v>4</v>
      </c>
      <c r="D23" s="14">
        <f>FREC.DiasPorPeriodo</f>
        <v>30</v>
      </c>
      <c r="E23" s="946">
        <f>INDEX(_Datos 23:23,,MATCH(_Búsqueda_Fechas_Pago, _Datos _Headers,0))</f>
        <v>42293</v>
      </c>
      <c r="F23" s="827">
        <f>INDEX(_Datos 23:23,,MATCH(_Búsqueda_Duración, _Datos _Headers,0))</f>
        <v>30</v>
      </c>
      <c r="H23" s="82">
        <f t="shared" si="0"/>
        <v>42293</v>
      </c>
      <c r="I23" s="14">
        <f>CONST_DIAS_BASE_INTERES + IF(DAY(_Fecha_Pago _Anterior)&gt;=Const_Dia_Corte_Aniversario,MAX(CONST_DIAS_LIMITE-DAY(_Fecha_Pago _Anterior),1))</f>
        <v>30</v>
      </c>
    </row>
    <row r="24" spans="1:9">
      <c r="A24" s="14">
        <v>5</v>
      </c>
      <c r="D24" s="14">
        <f>FREC.DiasPorPeriodo</f>
        <v>30</v>
      </c>
      <c r="E24" s="946">
        <f>INDEX(_Datos 24:24,,MATCH(_Búsqueda_Fechas_Pago, _Datos _Headers,0))</f>
        <v>42324</v>
      </c>
      <c r="F24" s="827">
        <f>INDEX(_Datos 24:24,,MATCH(_Búsqueda_Duración, _Datos _Headers,0))</f>
        <v>30</v>
      </c>
      <c r="H24" s="82">
        <f t="shared" si="0"/>
        <v>42324</v>
      </c>
      <c r="I24" s="14">
        <f>CONST_DIAS_BASE_INTERES + IF(DAY(_Fecha_Pago _Anterior)&gt;=Const_Dia_Corte_Aniversario,MAX(CONST_DIAS_LIMITE-DAY(_Fecha_Pago _Anterior),1))</f>
        <v>30</v>
      </c>
    </row>
    <row r="25" spans="1:9">
      <c r="A25" s="14">
        <v>6</v>
      </c>
      <c r="D25" s="14">
        <f>FREC.DiasPorPeriodo</f>
        <v>30</v>
      </c>
      <c r="E25" s="946">
        <f>INDEX(_Datos 25:25,,MATCH(_Búsqueda_Fechas_Pago, _Datos _Headers,0))</f>
        <v>42354</v>
      </c>
      <c r="F25" s="827">
        <f>INDEX(_Datos 25:25,,MATCH(_Búsqueda_Duración, _Datos _Headers,0))</f>
        <v>30</v>
      </c>
      <c r="H25" s="82">
        <f t="shared" si="0"/>
        <v>42354</v>
      </c>
      <c r="I25" s="14">
        <f>CONST_DIAS_BASE_INTERES + IF(DAY(_Fecha_Pago _Anterior)&gt;=Const_Dia_Corte_Aniversario,MAX(CONST_DIAS_LIMITE-DAY(_Fecha_Pago _Anterior),1))</f>
        <v>30</v>
      </c>
    </row>
    <row r="26" spans="1:9">
      <c r="A26" s="14">
        <v>7</v>
      </c>
      <c r="D26" s="14">
        <f>FREC.DiasPorPeriodo</f>
        <v>30</v>
      </c>
      <c r="E26" s="946">
        <f>INDEX(_Datos 26:26,,MATCH(_Búsqueda_Fechas_Pago, _Datos _Headers,0))</f>
        <v>42385</v>
      </c>
      <c r="F26" s="827">
        <f>INDEX(_Datos 26:26,,MATCH(_Búsqueda_Duración, _Datos _Headers,0))</f>
        <v>30</v>
      </c>
      <c r="H26" s="82">
        <f t="shared" si="0"/>
        <v>42385</v>
      </c>
      <c r="I26" s="14">
        <f>CONST_DIAS_BASE_INTERES + IF(DAY(_Fecha_Pago _Anterior)&gt;=Const_Dia_Corte_Aniversario,MAX(CONST_DIAS_LIMITE-DAY(_Fecha_Pago _Anterior),1))</f>
        <v>30</v>
      </c>
    </row>
    <row r="27" spans="1:9">
      <c r="A27" s="14">
        <v>8</v>
      </c>
      <c r="D27" s="14">
        <f>FREC.DiasPorPeriodo</f>
        <v>30</v>
      </c>
      <c r="E27" s="946">
        <f>INDEX(_Datos 27:27,,MATCH(_Búsqueda_Fechas_Pago, _Datos _Headers,0))</f>
        <v>42416</v>
      </c>
      <c r="F27" s="827">
        <f>INDEX(_Datos 27:27,,MATCH(_Búsqueda_Duración, _Datos _Headers,0))</f>
        <v>30</v>
      </c>
      <c r="H27" s="82">
        <f t="shared" si="0"/>
        <v>42416</v>
      </c>
      <c r="I27" s="14">
        <f>CONST_DIAS_BASE_INTERES + IF(DAY(_Fecha_Pago _Anterior)&gt;=Const_Dia_Corte_Aniversario,MAX(CONST_DIAS_LIMITE-DAY(_Fecha_Pago _Anterior),1))</f>
        <v>30</v>
      </c>
    </row>
    <row r="28" spans="1:9">
      <c r="A28" s="14">
        <v>9</v>
      </c>
      <c r="D28" s="14">
        <f>FREC.DiasPorPeriodo</f>
        <v>30</v>
      </c>
      <c r="E28" s="946">
        <f>INDEX(_Datos 28:28,,MATCH(_Búsqueda_Fechas_Pago, _Datos _Headers,0))</f>
        <v>42445</v>
      </c>
      <c r="F28" s="827">
        <f>INDEX(_Datos 28:28,,MATCH(_Búsqueda_Duración, _Datos _Headers,0))</f>
        <v>30</v>
      </c>
      <c r="H28" s="82">
        <f t="shared" si="0"/>
        <v>42445</v>
      </c>
      <c r="I28" s="14">
        <f>CONST_DIAS_BASE_INTERES + IF(DAY(_Fecha_Pago _Anterior)&gt;=Const_Dia_Corte_Aniversario,MAX(CONST_DIAS_LIMITE-DAY(_Fecha_Pago _Anterior),1))</f>
        <v>30</v>
      </c>
    </row>
    <row r="29" spans="1:9">
      <c r="A29" s="14">
        <v>10</v>
      </c>
      <c r="D29" s="14">
        <f>FREC.DiasPorPeriodo</f>
        <v>30</v>
      </c>
      <c r="E29" s="946">
        <f>INDEX(_Datos 29:29,,MATCH(_Búsqueda_Fechas_Pago, _Datos _Headers,0))</f>
        <v>42476</v>
      </c>
      <c r="F29" s="827">
        <f>INDEX(_Datos 29:29,,MATCH(_Búsqueda_Duración, _Datos _Headers,0))</f>
        <v>30</v>
      </c>
      <c r="H29" s="82">
        <f t="shared" si="0"/>
        <v>42476</v>
      </c>
      <c r="I29" s="14">
        <f>CONST_DIAS_BASE_INTERES + IF(DAY(_Fecha_Pago _Anterior)&gt;=Const_Dia_Corte_Aniversario,MAX(CONST_DIAS_LIMITE-DAY(_Fecha_Pago _Anterior),1))</f>
        <v>30</v>
      </c>
    </row>
    <row r="30" spans="1:9">
      <c r="A30" s="14">
        <v>11</v>
      </c>
      <c r="D30" s="14">
        <f>FREC.DiasPorPeriodo</f>
        <v>30</v>
      </c>
      <c r="E30" s="946">
        <f>INDEX(_Datos 30:30,,MATCH(_Búsqueda_Fechas_Pago, _Datos _Headers,0))</f>
        <v>42506</v>
      </c>
      <c r="F30" s="827">
        <f>INDEX(_Datos 30:30,,MATCH(_Búsqueda_Duración, _Datos _Headers,0))</f>
        <v>30</v>
      </c>
      <c r="H30" s="82">
        <f t="shared" si="0"/>
        <v>42506</v>
      </c>
      <c r="I30" s="14">
        <f>CONST_DIAS_BASE_INTERES + IF(DAY(_Fecha_Pago _Anterior)&gt;=Const_Dia_Corte_Aniversario,MAX(CONST_DIAS_LIMITE-DAY(_Fecha_Pago _Anterior),1))</f>
        <v>30</v>
      </c>
    </row>
    <row r="31" spans="1:9">
      <c r="A31" s="14">
        <v>12</v>
      </c>
      <c r="D31" s="14">
        <f>FREC.DiasPorPeriodo</f>
        <v>30</v>
      </c>
      <c r="E31" s="946">
        <f>INDEX(_Datos 31:31,,MATCH(_Búsqueda_Fechas_Pago, _Datos _Headers,0))</f>
        <v>42537</v>
      </c>
      <c r="F31" s="827">
        <f>INDEX(_Datos 31:31,,MATCH(_Búsqueda_Duración, _Datos _Headers,0))</f>
        <v>30</v>
      </c>
      <c r="H31" s="82">
        <f t="shared" si="0"/>
        <v>42537</v>
      </c>
      <c r="I31" s="14">
        <f>CONST_DIAS_BASE_INTERES + IF(DAY(_Fecha_Pago _Anterior)&gt;=Const_Dia_Corte_Aniversario,MAX(CONST_DIAS_LIMITE-DAY(_Fecha_Pago _Anterior),1))</f>
        <v>30</v>
      </c>
    </row>
    <row r="32" spans="1:9">
      <c r="A32" s="14">
        <v>13</v>
      </c>
      <c r="D32" s="14">
        <f>FREC.DiasPorPeriodo</f>
        <v>30</v>
      </c>
      <c r="E32" s="946">
        <f>INDEX(_Datos 32:32,,MATCH(_Búsqueda_Fechas_Pago, _Datos _Headers,0))</f>
        <v>42567</v>
      </c>
      <c r="F32" s="827">
        <f>INDEX(_Datos 32:32,,MATCH(_Búsqueda_Duración, _Datos _Headers,0))</f>
        <v>30</v>
      </c>
      <c r="H32" s="82">
        <f t="shared" si="0"/>
        <v>42567</v>
      </c>
      <c r="I32" s="14">
        <f>CONST_DIAS_BASE_INTERES + IF(DAY(_Fecha_Pago _Anterior)&gt;=Const_Dia_Corte_Aniversario,MAX(CONST_DIAS_LIMITE-DAY(_Fecha_Pago _Anterior),1))</f>
        <v>30</v>
      </c>
    </row>
    <row r="33" spans="1:9">
      <c r="A33" s="14">
        <v>14</v>
      </c>
      <c r="D33" s="14">
        <f>FREC.DiasPorPeriodo</f>
        <v>30</v>
      </c>
      <c r="E33" s="946">
        <f>INDEX(_Datos 33:33,,MATCH(_Búsqueda_Fechas_Pago, _Datos _Headers,0))</f>
        <v>42598</v>
      </c>
      <c r="F33" s="827">
        <f>INDEX(_Datos 33:33,,MATCH(_Búsqueda_Duración, _Datos _Headers,0))</f>
        <v>30</v>
      </c>
      <c r="H33" s="82">
        <f t="shared" si="0"/>
        <v>42598</v>
      </c>
      <c r="I33" s="14">
        <f>CONST_DIAS_BASE_INTERES + IF(DAY(_Fecha_Pago _Anterior)&gt;=Const_Dia_Corte_Aniversario,MAX(CONST_DIAS_LIMITE-DAY(_Fecha_Pago _Anterior),1))</f>
        <v>30</v>
      </c>
    </row>
    <row r="34" spans="1:9">
      <c r="A34" s="14">
        <v>15</v>
      </c>
      <c r="D34" s="14">
        <f>FREC.DiasPorPeriodo</f>
        <v>30</v>
      </c>
      <c r="E34" s="946">
        <f>INDEX(_Datos 34:34,,MATCH(_Búsqueda_Fechas_Pago, _Datos _Headers,0))</f>
        <v>42629</v>
      </c>
      <c r="F34" s="827">
        <f>INDEX(_Datos 34:34,,MATCH(_Búsqueda_Duración, _Datos _Headers,0))</f>
        <v>30</v>
      </c>
      <c r="H34" s="82">
        <f t="shared" si="0"/>
        <v>42629</v>
      </c>
      <c r="I34" s="14">
        <f>CONST_DIAS_BASE_INTERES + IF(DAY(_Fecha_Pago _Anterior)&gt;=Const_Dia_Corte_Aniversario,MAX(CONST_DIAS_LIMITE-DAY(_Fecha_Pago _Anterior),1))</f>
        <v>30</v>
      </c>
    </row>
    <row r="35" spans="1:9">
      <c r="A35" s="14">
        <v>16</v>
      </c>
      <c r="D35" s="14">
        <f>FREC.DiasPorPeriodo</f>
        <v>30</v>
      </c>
      <c r="E35" s="946">
        <f>INDEX(_Datos 35:35,,MATCH(_Búsqueda_Fechas_Pago, _Datos _Headers,0))</f>
        <v>42659</v>
      </c>
      <c r="F35" s="827">
        <f>INDEX(_Datos 35:35,,MATCH(_Búsqueda_Duración, _Datos _Headers,0))</f>
        <v>30</v>
      </c>
      <c r="H35" s="82">
        <f t="shared" si="0"/>
        <v>42659</v>
      </c>
      <c r="I35" s="14">
        <f>CONST_DIAS_BASE_INTERES + IF(DAY(_Fecha_Pago _Anterior)&gt;=Const_Dia_Corte_Aniversario,MAX(CONST_DIAS_LIMITE-DAY(_Fecha_Pago _Anterior),1))</f>
        <v>30</v>
      </c>
    </row>
    <row r="36" spans="1:9">
      <c r="A36" s="14">
        <v>17</v>
      </c>
      <c r="D36" s="14">
        <f>FREC.DiasPorPeriodo</f>
        <v>30</v>
      </c>
      <c r="E36" s="946">
        <f>INDEX(_Datos 36:36,,MATCH(_Búsqueda_Fechas_Pago, _Datos _Headers,0))</f>
        <v>42690</v>
      </c>
      <c r="F36" s="827">
        <f>INDEX(_Datos 36:36,,MATCH(_Búsqueda_Duración, _Datos _Headers,0))</f>
        <v>30</v>
      </c>
      <c r="H36" s="82">
        <f t="shared" si="0"/>
        <v>42690</v>
      </c>
      <c r="I36" s="14">
        <f>CONST_DIAS_BASE_INTERES + IF(DAY(_Fecha_Pago _Anterior)&gt;=Const_Dia_Corte_Aniversario,MAX(CONST_DIAS_LIMITE-DAY(_Fecha_Pago _Anterior),1))</f>
        <v>30</v>
      </c>
    </row>
    <row r="37" spans="1:9">
      <c r="A37" s="14">
        <v>18</v>
      </c>
      <c r="D37" s="14">
        <f>FREC.DiasPorPeriodo</f>
        <v>30</v>
      </c>
      <c r="E37" s="946">
        <f>INDEX(_Datos 37:37,,MATCH(_Búsqueda_Fechas_Pago, _Datos _Headers,0))</f>
        <v>42720</v>
      </c>
      <c r="F37" s="827">
        <f>INDEX(_Datos 37:37,,MATCH(_Búsqueda_Duración, _Datos _Headers,0))</f>
        <v>30</v>
      </c>
      <c r="H37" s="82">
        <f t="shared" si="0"/>
        <v>42720</v>
      </c>
      <c r="I37" s="14">
        <f>CONST_DIAS_BASE_INTERES + IF(DAY(_Fecha_Pago _Anterior)&gt;=Const_Dia_Corte_Aniversario,MAX(CONST_DIAS_LIMITE-DAY(_Fecha_Pago _Anterior),1))</f>
        <v>30</v>
      </c>
    </row>
    <row r="38" spans="1:9">
      <c r="A38" s="14">
        <v>19</v>
      </c>
      <c r="D38" s="14">
        <f>FREC.DiasPorPeriodo</f>
        <v>30</v>
      </c>
      <c r="E38" s="946">
        <f>INDEX(_Datos 38:38,,MATCH(_Búsqueda_Fechas_Pago, _Datos _Headers,0))</f>
        <v>42751</v>
      </c>
      <c r="F38" s="827">
        <f>INDEX(_Datos 38:38,,MATCH(_Búsqueda_Duración, _Datos _Headers,0))</f>
        <v>30</v>
      </c>
      <c r="H38" s="82">
        <f t="shared" si="0"/>
        <v>42751</v>
      </c>
      <c r="I38" s="14">
        <f>CONST_DIAS_BASE_INTERES + IF(DAY(_Fecha_Pago _Anterior)&gt;=Const_Dia_Corte_Aniversario,MAX(CONST_DIAS_LIMITE-DAY(_Fecha_Pago _Anterior),1))</f>
        <v>30</v>
      </c>
    </row>
    <row r="39" spans="1:9">
      <c r="A39" s="14">
        <v>20</v>
      </c>
      <c r="D39" s="14">
        <f>FREC.DiasPorPeriodo</f>
        <v>30</v>
      </c>
      <c r="E39" s="946">
        <f>INDEX(_Datos 39:39,,MATCH(_Búsqueda_Fechas_Pago, _Datos _Headers,0))</f>
        <v>42782</v>
      </c>
      <c r="F39" s="827">
        <f>INDEX(_Datos 39:39,,MATCH(_Búsqueda_Duración, _Datos _Headers,0))</f>
        <v>30</v>
      </c>
      <c r="H39" s="82">
        <f t="shared" si="0"/>
        <v>42782</v>
      </c>
      <c r="I39" s="14">
        <f>CONST_DIAS_BASE_INTERES + IF(DAY(_Fecha_Pago _Anterior)&gt;=Const_Dia_Corte_Aniversario,MAX(CONST_DIAS_LIMITE-DAY(_Fecha_Pago _Anterior),1))</f>
        <v>30</v>
      </c>
    </row>
    <row r="40" spans="1:9">
      <c r="A40" s="14">
        <v>21</v>
      </c>
      <c r="D40" s="14">
        <f>FREC.DiasPorPeriodo</f>
        <v>30</v>
      </c>
      <c r="E40" s="946">
        <f>INDEX(_Datos 40:40,,MATCH(_Búsqueda_Fechas_Pago, _Datos _Headers,0))</f>
        <v>42810</v>
      </c>
      <c r="F40" s="827">
        <f>INDEX(_Datos 40:40,,MATCH(_Búsqueda_Duración, _Datos _Headers,0))</f>
        <v>30</v>
      </c>
      <c r="H40" s="82">
        <f t="shared" si="0"/>
        <v>42810</v>
      </c>
      <c r="I40" s="14">
        <f>CONST_DIAS_BASE_INTERES + IF(DAY(_Fecha_Pago _Anterior)&gt;=Const_Dia_Corte_Aniversario,MAX(CONST_DIAS_LIMITE-DAY(_Fecha_Pago _Anterior),1))</f>
        <v>30</v>
      </c>
    </row>
    <row r="41" spans="1:9">
      <c r="A41" s="14">
        <v>22</v>
      </c>
      <c r="D41" s="14">
        <f>FREC.DiasPorPeriodo</f>
        <v>30</v>
      </c>
      <c r="E41" s="946">
        <f>INDEX(_Datos 41:41,,MATCH(_Búsqueda_Fechas_Pago, _Datos _Headers,0))</f>
        <v>42841</v>
      </c>
      <c r="F41" s="827">
        <f>INDEX(_Datos 41:41,,MATCH(_Búsqueda_Duración, _Datos _Headers,0))</f>
        <v>30</v>
      </c>
      <c r="H41" s="82">
        <f t="shared" si="0"/>
        <v>42841</v>
      </c>
      <c r="I41" s="14">
        <f>CONST_DIAS_BASE_INTERES + IF(DAY(_Fecha_Pago _Anterior)&gt;=Const_Dia_Corte_Aniversario,MAX(CONST_DIAS_LIMITE-DAY(_Fecha_Pago _Anterior),1))</f>
        <v>30</v>
      </c>
    </row>
    <row r="42" spans="1:9">
      <c r="A42" s="14">
        <v>23</v>
      </c>
      <c r="D42" s="14">
        <f>FREC.DiasPorPeriodo</f>
        <v>30</v>
      </c>
      <c r="E42" s="946">
        <f>INDEX(_Datos 42:42,,MATCH(_Búsqueda_Fechas_Pago, _Datos _Headers,0))</f>
        <v>42871</v>
      </c>
      <c r="F42" s="827">
        <f>INDEX(_Datos 42:42,,MATCH(_Búsqueda_Duración, _Datos _Headers,0))</f>
        <v>30</v>
      </c>
      <c r="H42" s="82">
        <f t="shared" si="0"/>
        <v>42871</v>
      </c>
      <c r="I42" s="14">
        <f>CONST_DIAS_BASE_INTERES + IF(DAY(_Fecha_Pago _Anterior)&gt;=Const_Dia_Corte_Aniversario,MAX(CONST_DIAS_LIMITE-DAY(_Fecha_Pago _Anterior),1))</f>
        <v>30</v>
      </c>
    </row>
    <row r="43" spans="1:9">
      <c r="A43" s="14">
        <v>24</v>
      </c>
      <c r="D43" s="14">
        <f>FREC.DiasPorPeriodo</f>
        <v>30</v>
      </c>
      <c r="E43" s="946">
        <f>INDEX(_Datos 43:43,,MATCH(_Búsqueda_Fechas_Pago, _Datos _Headers,0))</f>
        <v>42902</v>
      </c>
      <c r="F43" s="827">
        <f>INDEX(_Datos 43:43,,MATCH(_Búsqueda_Duración, _Datos _Headers,0))</f>
        <v>30</v>
      </c>
      <c r="H43" s="82">
        <f t="shared" si="0"/>
        <v>42902</v>
      </c>
      <c r="I43" s="14">
        <f>CONST_DIAS_BASE_INTERES + IF(DAY(_Fecha_Pago _Anterior)&gt;=Const_Dia_Corte_Aniversario,MAX(CONST_DIAS_LIMITE-DAY(_Fecha_Pago _Anterior),1))</f>
        <v>30</v>
      </c>
    </row>
    <row r="44" spans="1:9">
      <c r="A44" s="14">
        <v>25</v>
      </c>
      <c r="D44" s="14">
        <f>FREC.DiasPorPeriodo</f>
        <v>30</v>
      </c>
      <c r="E44" s="946">
        <f>INDEX(_Datos 44:44,,MATCH(_Búsqueda_Fechas_Pago, _Datos _Headers,0))</f>
        <v>42932</v>
      </c>
      <c r="F44" s="827">
        <f>INDEX(_Datos 44:44,,MATCH(_Búsqueda_Duración, _Datos _Headers,0))</f>
        <v>30</v>
      </c>
      <c r="H44" s="82">
        <f t="shared" si="0"/>
        <v>42932</v>
      </c>
      <c r="I44" s="14">
        <f>CONST_DIAS_BASE_INTERES + IF(DAY(_Fecha_Pago _Anterior)&gt;=Const_Dia_Corte_Aniversario,MAX(CONST_DIAS_LIMITE-DAY(_Fecha_Pago _Anterior),1))</f>
        <v>30</v>
      </c>
    </row>
    <row r="45" spans="1:9">
      <c r="A45" s="14">
        <v>26</v>
      </c>
      <c r="D45" s="14">
        <f>FREC.DiasPorPeriodo</f>
        <v>30</v>
      </c>
      <c r="E45" s="946">
        <f>INDEX(_Datos 45:45,,MATCH(_Búsqueda_Fechas_Pago, _Datos _Headers,0))</f>
        <v>42963</v>
      </c>
      <c r="F45" s="827">
        <f>INDEX(_Datos 45:45,,MATCH(_Búsqueda_Duración, _Datos _Headers,0))</f>
        <v>30</v>
      </c>
      <c r="H45" s="82">
        <f t="shared" si="0"/>
        <v>42963</v>
      </c>
      <c r="I45" s="14">
        <f>CONST_DIAS_BASE_INTERES + IF(DAY(_Fecha_Pago _Anterior)&gt;=Const_Dia_Corte_Aniversario,MAX(CONST_DIAS_LIMITE-DAY(_Fecha_Pago _Anterior),1))</f>
        <v>30</v>
      </c>
    </row>
    <row r="46" spans="1:9">
      <c r="A46" s="14">
        <v>27</v>
      </c>
      <c r="D46" s="14">
        <f>FREC.DiasPorPeriodo</f>
        <v>30</v>
      </c>
      <c r="E46" s="946">
        <f>INDEX(_Datos 46:46,,MATCH(_Búsqueda_Fechas_Pago, _Datos _Headers,0))</f>
        <v>42994</v>
      </c>
      <c r="F46" s="827">
        <f>INDEX(_Datos 46:46,,MATCH(_Búsqueda_Duración, _Datos _Headers,0))</f>
        <v>30</v>
      </c>
      <c r="H46" s="82">
        <f t="shared" si="0"/>
        <v>42994</v>
      </c>
      <c r="I46" s="14">
        <f>CONST_DIAS_BASE_INTERES + IF(DAY(_Fecha_Pago _Anterior)&gt;=Const_Dia_Corte_Aniversario,MAX(CONST_DIAS_LIMITE-DAY(_Fecha_Pago _Anterior),1))</f>
        <v>30</v>
      </c>
    </row>
    <row r="47" spans="1:9">
      <c r="A47" s="14">
        <v>28</v>
      </c>
      <c r="D47" s="14">
        <f>FREC.DiasPorPeriodo</f>
        <v>30</v>
      </c>
      <c r="E47" s="946">
        <f>INDEX(_Datos 47:47,,MATCH(_Búsqueda_Fechas_Pago, _Datos _Headers,0))</f>
        <v>43024</v>
      </c>
      <c r="F47" s="827">
        <f>INDEX(_Datos 47:47,,MATCH(_Búsqueda_Duración, _Datos _Headers,0))</f>
        <v>30</v>
      </c>
      <c r="H47" s="82">
        <f t="shared" si="0"/>
        <v>43024</v>
      </c>
      <c r="I47" s="14">
        <f>CONST_DIAS_BASE_INTERES + IF(DAY(_Fecha_Pago _Anterior)&gt;=Const_Dia_Corte_Aniversario,MAX(CONST_DIAS_LIMITE-DAY(_Fecha_Pago _Anterior),1))</f>
        <v>30</v>
      </c>
    </row>
    <row r="48" spans="1:9">
      <c r="A48" s="14">
        <v>29</v>
      </c>
      <c r="D48" s="14">
        <f>FREC.DiasPorPeriodo</f>
        <v>30</v>
      </c>
      <c r="E48" s="946">
        <f>INDEX(_Datos 48:48,,MATCH(_Búsqueda_Fechas_Pago, _Datos _Headers,0))</f>
        <v>43055</v>
      </c>
      <c r="F48" s="827">
        <f>INDEX(_Datos 48:48,,MATCH(_Búsqueda_Duración, _Datos _Headers,0))</f>
        <v>30</v>
      </c>
      <c r="H48" s="82">
        <f t="shared" si="0"/>
        <v>43055</v>
      </c>
      <c r="I48" s="14">
        <f>CONST_DIAS_BASE_INTERES + IF(DAY(_Fecha_Pago _Anterior)&gt;=Const_Dia_Corte_Aniversario,MAX(CONST_DIAS_LIMITE-DAY(_Fecha_Pago _Anterior),1))</f>
        <v>30</v>
      </c>
    </row>
    <row r="49" spans="1:9">
      <c r="A49" s="14">
        <v>30</v>
      </c>
      <c r="D49" s="14">
        <f>FREC.DiasPorPeriodo</f>
        <v>30</v>
      </c>
      <c r="E49" s="946">
        <f>INDEX(_Datos 49:49,,MATCH(_Búsqueda_Fechas_Pago, _Datos _Headers,0))</f>
        <v>43085</v>
      </c>
      <c r="F49" s="827">
        <f>INDEX(_Datos 49:49,,MATCH(_Búsqueda_Duración, _Datos _Headers,0))</f>
        <v>30</v>
      </c>
      <c r="H49" s="82">
        <f t="shared" si="0"/>
        <v>43085</v>
      </c>
      <c r="I49" s="14">
        <f>CONST_DIAS_BASE_INTERES + IF(DAY(_Fecha_Pago _Anterior)&gt;=Const_Dia_Corte_Aniversario,MAX(CONST_DIAS_LIMITE-DAY(_Fecha_Pago _Anterior),1))</f>
        <v>30</v>
      </c>
    </row>
    <row r="50" spans="1:9">
      <c r="A50" s="14">
        <v>31</v>
      </c>
      <c r="D50" s="14">
        <f>FREC.DiasPorPeriodo</f>
        <v>30</v>
      </c>
      <c r="E50" s="946">
        <f>INDEX(_Datos 50:50,,MATCH(_Búsqueda_Fechas_Pago, _Datos _Headers,0))</f>
        <v>43116</v>
      </c>
      <c r="F50" s="827">
        <f>INDEX(_Datos 50:50,,MATCH(_Búsqueda_Duración, _Datos _Headers,0))</f>
        <v>30</v>
      </c>
      <c r="H50" s="82">
        <f t="shared" si="0"/>
        <v>43116</v>
      </c>
      <c r="I50" s="14">
        <f>CONST_DIAS_BASE_INTERES + IF(DAY(_Fecha_Pago _Anterior)&gt;=Const_Dia_Corte_Aniversario,MAX(CONST_DIAS_LIMITE-DAY(_Fecha_Pago _Anterior),1))</f>
        <v>30</v>
      </c>
    </row>
    <row r="51" spans="1:9">
      <c r="A51" s="14">
        <v>32</v>
      </c>
      <c r="D51" s="14">
        <f>FREC.DiasPorPeriodo</f>
        <v>30</v>
      </c>
      <c r="E51" s="946">
        <f>INDEX(_Datos 51:51,,MATCH(_Búsqueda_Fechas_Pago, _Datos _Headers,0))</f>
        <v>43147</v>
      </c>
      <c r="F51" s="827">
        <f>INDEX(_Datos 51:51,,MATCH(_Búsqueda_Duración, _Datos _Headers,0))</f>
        <v>30</v>
      </c>
      <c r="H51" s="82">
        <f t="shared" si="0"/>
        <v>43147</v>
      </c>
      <c r="I51" s="14">
        <f>CONST_DIAS_BASE_INTERES + IF(DAY(_Fecha_Pago _Anterior)&gt;=Const_Dia_Corte_Aniversario,MAX(CONST_DIAS_LIMITE-DAY(_Fecha_Pago _Anterior),1))</f>
        <v>30</v>
      </c>
    </row>
    <row r="52" spans="1:9">
      <c r="A52" s="14">
        <v>33</v>
      </c>
      <c r="D52" s="14">
        <f>FREC.DiasPorPeriodo</f>
        <v>30</v>
      </c>
      <c r="E52" s="946">
        <f>INDEX(_Datos 52:52,,MATCH(_Búsqueda_Fechas_Pago, _Datos _Headers,0))</f>
        <v>43175</v>
      </c>
      <c r="F52" s="827">
        <f>INDEX(_Datos 52:52,,MATCH(_Búsqueda_Duración, _Datos _Headers,0))</f>
        <v>30</v>
      </c>
      <c r="H52" s="82">
        <f t="shared" si="0"/>
        <v>43175</v>
      </c>
      <c r="I52" s="14">
        <f>CONST_DIAS_BASE_INTERES + IF(DAY(_Fecha_Pago _Anterior)&gt;=Const_Dia_Corte_Aniversario,MAX(CONST_DIAS_LIMITE-DAY(_Fecha_Pago _Anterior),1))</f>
        <v>30</v>
      </c>
    </row>
    <row r="53" spans="1:9">
      <c r="A53" s="14">
        <v>34</v>
      </c>
      <c r="D53" s="14">
        <f>FREC.DiasPorPeriodo</f>
        <v>30</v>
      </c>
      <c r="E53" s="946">
        <f>INDEX(_Datos 53:53,,MATCH(_Búsqueda_Fechas_Pago, _Datos _Headers,0))</f>
        <v>43206</v>
      </c>
      <c r="F53" s="827">
        <f>INDEX(_Datos 53:53,,MATCH(_Búsqueda_Duración, _Datos _Headers,0))</f>
        <v>30</v>
      </c>
      <c r="H53" s="82">
        <f t="shared" ref="H53:H79" si="1">IF(DAY(H52)&gt;=Const_Dia_Corte_Aniversario,FinMesPropia(H52,1)+1,FinMesPropia(H52,0)+DAY(H52))</f>
        <v>43206</v>
      </c>
      <c r="I53" s="14">
        <f>CONST_DIAS_BASE_INTERES + IF(DAY(_Fecha_Pago _Anterior)&gt;=Const_Dia_Corte_Aniversario,MAX(CONST_DIAS_LIMITE-DAY(_Fecha_Pago _Anterior),1))</f>
        <v>30</v>
      </c>
    </row>
    <row r="54" spans="1:9">
      <c r="A54" s="14">
        <v>35</v>
      </c>
      <c r="D54" s="14">
        <f>FREC.DiasPorPeriodo</f>
        <v>30</v>
      </c>
      <c r="E54" s="946">
        <f>INDEX(_Datos 54:54,,MATCH(_Búsqueda_Fechas_Pago, _Datos _Headers,0))</f>
        <v>43236</v>
      </c>
      <c r="F54" s="827">
        <f>INDEX(_Datos 54:54,,MATCH(_Búsqueda_Duración, _Datos _Headers,0))</f>
        <v>30</v>
      </c>
      <c r="H54" s="82">
        <f t="shared" si="1"/>
        <v>43236</v>
      </c>
      <c r="I54" s="14">
        <f>CONST_DIAS_BASE_INTERES + IF(DAY(_Fecha_Pago _Anterior)&gt;=Const_Dia_Corte_Aniversario,MAX(CONST_DIAS_LIMITE-DAY(_Fecha_Pago _Anterior),1))</f>
        <v>30</v>
      </c>
    </row>
    <row r="55" spans="1:9">
      <c r="A55" s="14">
        <v>36</v>
      </c>
      <c r="D55" s="14">
        <f>FREC.DiasPorPeriodo</f>
        <v>30</v>
      </c>
      <c r="E55" s="946">
        <f>INDEX(_Datos 55:55,,MATCH(_Búsqueda_Fechas_Pago, _Datos _Headers,0))</f>
        <v>43267</v>
      </c>
      <c r="F55" s="827">
        <f>INDEX(_Datos 55:55,,MATCH(_Búsqueda_Duración, _Datos _Headers,0))</f>
        <v>30</v>
      </c>
      <c r="H55" s="82">
        <f t="shared" si="1"/>
        <v>43267</v>
      </c>
      <c r="I55" s="14">
        <f>CONST_DIAS_BASE_INTERES + IF(DAY(_Fecha_Pago _Anterior)&gt;=Const_Dia_Corte_Aniversario,MAX(CONST_DIAS_LIMITE-DAY(_Fecha_Pago _Anterior),1))</f>
        <v>30</v>
      </c>
    </row>
    <row r="56" spans="1:9">
      <c r="A56" s="14">
        <v>37</v>
      </c>
      <c r="D56" s="14">
        <f>FREC.DiasPorPeriodo</f>
        <v>30</v>
      </c>
      <c r="E56" s="946">
        <f>INDEX(_Datos 56:56,,MATCH(_Búsqueda_Fechas_Pago, _Datos _Headers,0))</f>
        <v>43297</v>
      </c>
      <c r="F56" s="827">
        <f>INDEX(_Datos 56:56,,MATCH(_Búsqueda_Duración, _Datos _Headers,0))</f>
        <v>30</v>
      </c>
      <c r="H56" s="82">
        <f t="shared" si="1"/>
        <v>43297</v>
      </c>
      <c r="I56" s="14">
        <f>CONST_DIAS_BASE_INTERES + IF(DAY(_Fecha_Pago _Anterior)&gt;=Const_Dia_Corte_Aniversario,MAX(CONST_DIAS_LIMITE-DAY(_Fecha_Pago _Anterior),1))</f>
        <v>30</v>
      </c>
    </row>
    <row r="57" spans="1:9">
      <c r="A57" s="14">
        <v>38</v>
      </c>
      <c r="D57" s="14">
        <f>FREC.DiasPorPeriodo</f>
        <v>30</v>
      </c>
      <c r="E57" s="946">
        <f>INDEX(_Datos 57:57,,MATCH(_Búsqueda_Fechas_Pago, _Datos _Headers,0))</f>
        <v>43328</v>
      </c>
      <c r="F57" s="827">
        <f>INDEX(_Datos 57:57,,MATCH(_Búsqueda_Duración, _Datos _Headers,0))</f>
        <v>30</v>
      </c>
      <c r="H57" s="82">
        <f t="shared" si="1"/>
        <v>43328</v>
      </c>
      <c r="I57" s="14">
        <f>CONST_DIAS_BASE_INTERES + IF(DAY(_Fecha_Pago _Anterior)&gt;=Const_Dia_Corte_Aniversario,MAX(CONST_DIAS_LIMITE-DAY(_Fecha_Pago _Anterior),1))</f>
        <v>30</v>
      </c>
    </row>
    <row r="58" spans="1:9">
      <c r="A58" s="14">
        <v>39</v>
      </c>
      <c r="D58" s="14">
        <f>FREC.DiasPorPeriodo</f>
        <v>30</v>
      </c>
      <c r="E58" s="946">
        <f>INDEX(_Datos 58:58,,MATCH(_Búsqueda_Fechas_Pago, _Datos _Headers,0))</f>
        <v>43359</v>
      </c>
      <c r="F58" s="827">
        <f>INDEX(_Datos 58:58,,MATCH(_Búsqueda_Duración, _Datos _Headers,0))</f>
        <v>30</v>
      </c>
      <c r="H58" s="82">
        <f t="shared" si="1"/>
        <v>43359</v>
      </c>
      <c r="I58" s="14">
        <f>CONST_DIAS_BASE_INTERES + IF(DAY(_Fecha_Pago _Anterior)&gt;=Const_Dia_Corte_Aniversario,MAX(CONST_DIAS_LIMITE-DAY(_Fecha_Pago _Anterior),1))</f>
        <v>30</v>
      </c>
    </row>
    <row r="59" spans="1:9">
      <c r="A59" s="14">
        <v>40</v>
      </c>
      <c r="D59" s="14">
        <f>FREC.DiasPorPeriodo</f>
        <v>30</v>
      </c>
      <c r="E59" s="946">
        <f>INDEX(_Datos 59:59,,MATCH(_Búsqueda_Fechas_Pago, _Datos _Headers,0))</f>
        <v>43389</v>
      </c>
      <c r="F59" s="827">
        <f>INDEX(_Datos 59:59,,MATCH(_Búsqueda_Duración, _Datos _Headers,0))</f>
        <v>30</v>
      </c>
      <c r="H59" s="82">
        <f t="shared" si="1"/>
        <v>43389</v>
      </c>
      <c r="I59" s="14">
        <f>CONST_DIAS_BASE_INTERES + IF(DAY(_Fecha_Pago _Anterior)&gt;=Const_Dia_Corte_Aniversario,MAX(CONST_DIAS_LIMITE-DAY(_Fecha_Pago _Anterior),1))</f>
        <v>30</v>
      </c>
    </row>
    <row r="60" spans="1:9">
      <c r="A60" s="14">
        <v>41</v>
      </c>
      <c r="D60" s="14">
        <f>FREC.DiasPorPeriodo</f>
        <v>30</v>
      </c>
      <c r="E60" s="946">
        <f>INDEX(_Datos 60:60,,MATCH(_Búsqueda_Fechas_Pago, _Datos _Headers,0))</f>
        <v>43420</v>
      </c>
      <c r="F60" s="827">
        <f>INDEX(_Datos 60:60,,MATCH(_Búsqueda_Duración, _Datos _Headers,0))</f>
        <v>30</v>
      </c>
      <c r="H60" s="82">
        <f t="shared" si="1"/>
        <v>43420</v>
      </c>
      <c r="I60" s="14">
        <f>CONST_DIAS_BASE_INTERES + IF(DAY(_Fecha_Pago _Anterior)&gt;=Const_Dia_Corte_Aniversario,MAX(CONST_DIAS_LIMITE-DAY(_Fecha_Pago _Anterior),1))</f>
        <v>30</v>
      </c>
    </row>
    <row r="61" spans="1:9">
      <c r="A61" s="14">
        <v>42</v>
      </c>
      <c r="D61" s="14">
        <f>FREC.DiasPorPeriodo</f>
        <v>30</v>
      </c>
      <c r="E61" s="946">
        <f>INDEX(_Datos 61:61,,MATCH(_Búsqueda_Fechas_Pago, _Datos _Headers,0))</f>
        <v>43450</v>
      </c>
      <c r="F61" s="827">
        <f>INDEX(_Datos 61:61,,MATCH(_Búsqueda_Duración, _Datos _Headers,0))</f>
        <v>30</v>
      </c>
      <c r="H61" s="82">
        <f t="shared" si="1"/>
        <v>43450</v>
      </c>
      <c r="I61" s="14">
        <f>CONST_DIAS_BASE_INTERES + IF(DAY(_Fecha_Pago _Anterior)&gt;=Const_Dia_Corte_Aniversario,MAX(CONST_DIAS_LIMITE-DAY(_Fecha_Pago _Anterior),1))</f>
        <v>30</v>
      </c>
    </row>
    <row r="62" spans="1:9">
      <c r="A62" s="14">
        <v>43</v>
      </c>
      <c r="D62" s="14">
        <f>FREC.DiasPorPeriodo</f>
        <v>30</v>
      </c>
      <c r="E62" s="946">
        <f>INDEX(_Datos 62:62,,MATCH(_Búsqueda_Fechas_Pago, _Datos _Headers,0))</f>
        <v>43481</v>
      </c>
      <c r="F62" s="827">
        <f>INDEX(_Datos 62:62,,MATCH(_Búsqueda_Duración, _Datos _Headers,0))</f>
        <v>30</v>
      </c>
      <c r="H62" s="82">
        <f t="shared" si="1"/>
        <v>43481</v>
      </c>
      <c r="I62" s="14">
        <f>CONST_DIAS_BASE_INTERES + IF(DAY(_Fecha_Pago _Anterior)&gt;=Const_Dia_Corte_Aniversario,MAX(CONST_DIAS_LIMITE-DAY(_Fecha_Pago _Anterior),1))</f>
        <v>30</v>
      </c>
    </row>
    <row r="63" spans="1:9">
      <c r="A63" s="14">
        <v>44</v>
      </c>
      <c r="D63" s="14">
        <f>FREC.DiasPorPeriodo</f>
        <v>30</v>
      </c>
      <c r="E63" s="946">
        <f>INDEX(_Datos 63:63,,MATCH(_Búsqueda_Fechas_Pago, _Datos _Headers,0))</f>
        <v>43512</v>
      </c>
      <c r="F63" s="827">
        <f>INDEX(_Datos 63:63,,MATCH(_Búsqueda_Duración, _Datos _Headers,0))</f>
        <v>30</v>
      </c>
      <c r="H63" s="82">
        <f t="shared" si="1"/>
        <v>43512</v>
      </c>
      <c r="I63" s="14">
        <f>CONST_DIAS_BASE_INTERES + IF(DAY(_Fecha_Pago _Anterior)&gt;=Const_Dia_Corte_Aniversario,MAX(CONST_DIAS_LIMITE-DAY(_Fecha_Pago _Anterior),1))</f>
        <v>30</v>
      </c>
    </row>
    <row r="64" spans="1:9">
      <c r="A64" s="14">
        <v>45</v>
      </c>
      <c r="D64" s="14">
        <f>FREC.DiasPorPeriodo</f>
        <v>30</v>
      </c>
      <c r="E64" s="946">
        <f>INDEX(_Datos 64:64,,MATCH(_Búsqueda_Fechas_Pago, _Datos _Headers,0))</f>
        <v>43540</v>
      </c>
      <c r="F64" s="827">
        <f>INDEX(_Datos 64:64,,MATCH(_Búsqueda_Duración, _Datos _Headers,0))</f>
        <v>30</v>
      </c>
      <c r="H64" s="82">
        <f t="shared" si="1"/>
        <v>43540</v>
      </c>
      <c r="I64" s="14">
        <f>CONST_DIAS_BASE_INTERES + IF(DAY(_Fecha_Pago _Anterior)&gt;=Const_Dia_Corte_Aniversario,MAX(CONST_DIAS_LIMITE-DAY(_Fecha_Pago _Anterior),1))</f>
        <v>30</v>
      </c>
    </row>
    <row r="65" spans="1:9">
      <c r="A65" s="14">
        <v>46</v>
      </c>
      <c r="D65" s="14">
        <f>FREC.DiasPorPeriodo</f>
        <v>30</v>
      </c>
      <c r="E65" s="946">
        <f>INDEX(_Datos 65:65,,MATCH(_Búsqueda_Fechas_Pago, _Datos _Headers,0))</f>
        <v>43571</v>
      </c>
      <c r="F65" s="827">
        <f>INDEX(_Datos 65:65,,MATCH(_Búsqueda_Duración, _Datos _Headers,0))</f>
        <v>30</v>
      </c>
      <c r="H65" s="82">
        <f t="shared" si="1"/>
        <v>43571</v>
      </c>
      <c r="I65" s="14">
        <f>CONST_DIAS_BASE_INTERES + IF(DAY(_Fecha_Pago _Anterior)&gt;=Const_Dia_Corte_Aniversario,MAX(CONST_DIAS_LIMITE-DAY(_Fecha_Pago _Anterior),1))</f>
        <v>30</v>
      </c>
    </row>
    <row r="66" spans="1:9">
      <c r="A66" s="14">
        <v>47</v>
      </c>
      <c r="D66" s="14">
        <f>FREC.DiasPorPeriodo</f>
        <v>30</v>
      </c>
      <c r="E66" s="946">
        <f>INDEX(_Datos 66:66,,MATCH(_Búsqueda_Fechas_Pago, _Datos _Headers,0))</f>
        <v>43601</v>
      </c>
      <c r="F66" s="827">
        <f>INDEX(_Datos 66:66,,MATCH(_Búsqueda_Duración, _Datos _Headers,0))</f>
        <v>30</v>
      </c>
      <c r="H66" s="82">
        <f t="shared" si="1"/>
        <v>43601</v>
      </c>
      <c r="I66" s="14">
        <f>CONST_DIAS_BASE_INTERES + IF(DAY(_Fecha_Pago _Anterior)&gt;=Const_Dia_Corte_Aniversario,MAX(CONST_DIAS_LIMITE-DAY(_Fecha_Pago _Anterior),1))</f>
        <v>30</v>
      </c>
    </row>
    <row r="67" spans="1:9">
      <c r="A67" s="14">
        <v>48</v>
      </c>
      <c r="D67" s="14">
        <f>FREC.DiasPorPeriodo</f>
        <v>30</v>
      </c>
      <c r="E67" s="946">
        <f>INDEX(_Datos 67:67,,MATCH(_Búsqueda_Fechas_Pago, _Datos _Headers,0))</f>
        <v>43632</v>
      </c>
      <c r="F67" s="827">
        <f>INDEX(_Datos 67:67,,MATCH(_Búsqueda_Duración, _Datos _Headers,0))</f>
        <v>30</v>
      </c>
      <c r="H67" s="82">
        <f t="shared" si="1"/>
        <v>43632</v>
      </c>
      <c r="I67" s="14">
        <f>CONST_DIAS_BASE_INTERES + IF(DAY(_Fecha_Pago _Anterior)&gt;=Const_Dia_Corte_Aniversario,MAX(CONST_DIAS_LIMITE-DAY(_Fecha_Pago _Anterior),1))</f>
        <v>30</v>
      </c>
    </row>
    <row r="68" spans="1:9">
      <c r="A68" s="14">
        <v>49</v>
      </c>
      <c r="D68" s="14">
        <f>FREC.DiasPorPeriodo</f>
        <v>30</v>
      </c>
      <c r="E68" s="946">
        <f>INDEX(_Datos 68:68,,MATCH(_Búsqueda_Fechas_Pago, _Datos _Headers,0))</f>
        <v>43662</v>
      </c>
      <c r="F68" s="827">
        <f>INDEX(_Datos 68:68,,MATCH(_Búsqueda_Duración, _Datos _Headers,0))</f>
        <v>30</v>
      </c>
      <c r="H68" s="82">
        <f t="shared" si="1"/>
        <v>43662</v>
      </c>
      <c r="I68" s="14">
        <f>CONST_DIAS_BASE_INTERES + IF(DAY(_Fecha_Pago _Anterior)&gt;=Const_Dia_Corte_Aniversario,MAX(CONST_DIAS_LIMITE-DAY(_Fecha_Pago _Anterior),1))</f>
        <v>30</v>
      </c>
    </row>
    <row r="69" spans="1:9">
      <c r="A69" s="14">
        <v>50</v>
      </c>
      <c r="D69" s="14">
        <f>FREC.DiasPorPeriodo</f>
        <v>30</v>
      </c>
      <c r="E69" s="946">
        <f>INDEX(_Datos 69:69,,MATCH(_Búsqueda_Fechas_Pago, _Datos _Headers,0))</f>
        <v>43693</v>
      </c>
      <c r="F69" s="827">
        <f>INDEX(_Datos 69:69,,MATCH(_Búsqueda_Duración, _Datos _Headers,0))</f>
        <v>30</v>
      </c>
      <c r="H69" s="82">
        <f t="shared" si="1"/>
        <v>43693</v>
      </c>
      <c r="I69" s="14">
        <f>CONST_DIAS_BASE_INTERES + IF(DAY(_Fecha_Pago _Anterior)&gt;=Const_Dia_Corte_Aniversario,MAX(CONST_DIAS_LIMITE-DAY(_Fecha_Pago _Anterior),1))</f>
        <v>30</v>
      </c>
    </row>
    <row r="70" spans="1:9">
      <c r="A70" s="14">
        <v>51</v>
      </c>
      <c r="D70" s="14">
        <f>FREC.DiasPorPeriodo</f>
        <v>30</v>
      </c>
      <c r="E70" s="946">
        <f>INDEX(_Datos 70:70,,MATCH(_Búsqueda_Fechas_Pago, _Datos _Headers,0))</f>
        <v>43724</v>
      </c>
      <c r="F70" s="827">
        <f>INDEX(_Datos 70:70,,MATCH(_Búsqueda_Duración, _Datos _Headers,0))</f>
        <v>30</v>
      </c>
      <c r="H70" s="82">
        <f t="shared" si="1"/>
        <v>43724</v>
      </c>
      <c r="I70" s="14">
        <f>CONST_DIAS_BASE_INTERES + IF(DAY(_Fecha_Pago _Anterior)&gt;=Const_Dia_Corte_Aniversario,MAX(CONST_DIAS_LIMITE-DAY(_Fecha_Pago _Anterior),1))</f>
        <v>30</v>
      </c>
    </row>
    <row r="71" spans="1:9">
      <c r="A71" s="14">
        <v>52</v>
      </c>
      <c r="D71" s="14">
        <f>FREC.DiasPorPeriodo</f>
        <v>30</v>
      </c>
      <c r="E71" s="946">
        <f>INDEX(_Datos 71:71,,MATCH(_Búsqueda_Fechas_Pago, _Datos _Headers,0))</f>
        <v>43754</v>
      </c>
      <c r="F71" s="827">
        <f>INDEX(_Datos 71:71,,MATCH(_Búsqueda_Duración, _Datos _Headers,0))</f>
        <v>30</v>
      </c>
      <c r="H71" s="82">
        <f t="shared" si="1"/>
        <v>43754</v>
      </c>
      <c r="I71" s="14">
        <f>CONST_DIAS_BASE_INTERES + IF(DAY(_Fecha_Pago _Anterior)&gt;=Const_Dia_Corte_Aniversario,MAX(CONST_DIAS_LIMITE-DAY(_Fecha_Pago _Anterior),1))</f>
        <v>30</v>
      </c>
    </row>
    <row r="72" spans="1:9">
      <c r="A72" s="14">
        <v>53</v>
      </c>
      <c r="D72" s="14">
        <f>FREC.DiasPorPeriodo</f>
        <v>30</v>
      </c>
      <c r="E72" s="946">
        <f>INDEX(_Datos 72:72,,MATCH(_Búsqueda_Fechas_Pago, _Datos _Headers,0))</f>
        <v>43785</v>
      </c>
      <c r="F72" s="827">
        <f>INDEX(_Datos 72:72,,MATCH(_Búsqueda_Duración, _Datos _Headers,0))</f>
        <v>30</v>
      </c>
      <c r="H72" s="82">
        <f t="shared" si="1"/>
        <v>43785</v>
      </c>
      <c r="I72" s="14">
        <f>CONST_DIAS_BASE_INTERES + IF(DAY(_Fecha_Pago _Anterior)&gt;=Const_Dia_Corte_Aniversario,MAX(CONST_DIAS_LIMITE-DAY(_Fecha_Pago _Anterior),1))</f>
        <v>30</v>
      </c>
    </row>
    <row r="73" spans="1:9">
      <c r="A73" s="14">
        <v>54</v>
      </c>
      <c r="D73" s="14">
        <f>FREC.DiasPorPeriodo</f>
        <v>30</v>
      </c>
      <c r="E73" s="946">
        <f>INDEX(_Datos 73:73,,MATCH(_Búsqueda_Fechas_Pago, _Datos _Headers,0))</f>
        <v>43815</v>
      </c>
      <c r="F73" s="827">
        <f>INDEX(_Datos 73:73,,MATCH(_Búsqueda_Duración, _Datos _Headers,0))</f>
        <v>30</v>
      </c>
      <c r="H73" s="82">
        <f t="shared" si="1"/>
        <v>43815</v>
      </c>
      <c r="I73" s="14">
        <f>CONST_DIAS_BASE_INTERES + IF(DAY(_Fecha_Pago _Anterior)&gt;=Const_Dia_Corte_Aniversario,MAX(CONST_DIAS_LIMITE-DAY(_Fecha_Pago _Anterior),1))</f>
        <v>30</v>
      </c>
    </row>
    <row r="74" spans="1:9">
      <c r="A74" s="14">
        <v>55</v>
      </c>
      <c r="D74" s="14">
        <f>FREC.DiasPorPeriodo</f>
        <v>30</v>
      </c>
      <c r="E74" s="946">
        <f>INDEX(_Datos 74:74,,MATCH(_Búsqueda_Fechas_Pago, _Datos _Headers,0))</f>
        <v>43846</v>
      </c>
      <c r="F74" s="827">
        <f>INDEX(_Datos 74:74,,MATCH(_Búsqueda_Duración, _Datos _Headers,0))</f>
        <v>30</v>
      </c>
      <c r="H74" s="82">
        <f t="shared" si="1"/>
        <v>43846</v>
      </c>
      <c r="I74" s="14">
        <f>CONST_DIAS_BASE_INTERES + IF(DAY(_Fecha_Pago _Anterior)&gt;=Const_Dia_Corte_Aniversario,MAX(CONST_DIAS_LIMITE-DAY(_Fecha_Pago _Anterior),1))</f>
        <v>30</v>
      </c>
    </row>
    <row r="75" spans="1:9">
      <c r="A75" s="14">
        <v>56</v>
      </c>
      <c r="D75" s="14">
        <f>FREC.DiasPorPeriodo</f>
        <v>30</v>
      </c>
      <c r="E75" s="946">
        <f>INDEX(_Datos 75:75,,MATCH(_Búsqueda_Fechas_Pago, _Datos _Headers,0))</f>
        <v>43877</v>
      </c>
      <c r="F75" s="827">
        <f>INDEX(_Datos 75:75,,MATCH(_Búsqueda_Duración, _Datos _Headers,0))</f>
        <v>30</v>
      </c>
      <c r="H75" s="82">
        <f t="shared" si="1"/>
        <v>43877</v>
      </c>
      <c r="I75" s="14">
        <f>CONST_DIAS_BASE_INTERES + IF(DAY(_Fecha_Pago _Anterior)&gt;=Const_Dia_Corte_Aniversario,MAX(CONST_DIAS_LIMITE-DAY(_Fecha_Pago _Anterior),1))</f>
        <v>30</v>
      </c>
    </row>
    <row r="76" spans="1:9">
      <c r="A76" s="14">
        <v>57</v>
      </c>
      <c r="D76" s="14">
        <f>FREC.DiasPorPeriodo</f>
        <v>30</v>
      </c>
      <c r="E76" s="946">
        <f>INDEX(_Datos 76:76,,MATCH(_Búsqueda_Fechas_Pago, _Datos _Headers,0))</f>
        <v>43906</v>
      </c>
      <c r="F76" s="827">
        <f>INDEX(_Datos 76:76,,MATCH(_Búsqueda_Duración, _Datos _Headers,0))</f>
        <v>30</v>
      </c>
      <c r="H76" s="82">
        <f t="shared" si="1"/>
        <v>43906</v>
      </c>
      <c r="I76" s="14">
        <f>CONST_DIAS_BASE_INTERES + IF(DAY(_Fecha_Pago _Anterior)&gt;=Const_Dia_Corte_Aniversario,MAX(CONST_DIAS_LIMITE-DAY(_Fecha_Pago _Anterior),1))</f>
        <v>30</v>
      </c>
    </row>
    <row r="77" spans="1:9">
      <c r="A77" s="14">
        <v>58</v>
      </c>
      <c r="D77" s="14">
        <f>FREC.DiasPorPeriodo</f>
        <v>30</v>
      </c>
      <c r="E77" s="946">
        <f>INDEX(_Datos 77:77,,MATCH(_Búsqueda_Fechas_Pago, _Datos _Headers,0))</f>
        <v>43937</v>
      </c>
      <c r="F77" s="827">
        <f>INDEX(_Datos 77:77,,MATCH(_Búsqueda_Duración, _Datos _Headers,0))</f>
        <v>30</v>
      </c>
      <c r="H77" s="82">
        <f t="shared" si="1"/>
        <v>43937</v>
      </c>
      <c r="I77" s="14">
        <f>CONST_DIAS_BASE_INTERES + IF(DAY(_Fecha_Pago _Anterior)&gt;=Const_Dia_Corte_Aniversario,MAX(CONST_DIAS_LIMITE-DAY(_Fecha_Pago _Anterior),1))</f>
        <v>30</v>
      </c>
    </row>
    <row r="78" spans="1:9">
      <c r="A78" s="14">
        <v>59</v>
      </c>
      <c r="D78" s="14">
        <f>FREC.DiasPorPeriodo</f>
        <v>30</v>
      </c>
      <c r="E78" s="946">
        <f>INDEX(_Datos 78:78,,MATCH(_Búsqueda_Fechas_Pago, _Datos _Headers,0))</f>
        <v>43967</v>
      </c>
      <c r="F78" s="827">
        <f>INDEX(_Datos 78:78,,MATCH(_Búsqueda_Duración, _Datos _Headers,0))</f>
        <v>30</v>
      </c>
      <c r="H78" s="82">
        <f t="shared" si="1"/>
        <v>43967</v>
      </c>
      <c r="I78" s="14">
        <f>CONST_DIAS_BASE_INTERES + IF(DAY(_Fecha_Pago _Anterior)&gt;=Const_Dia_Corte_Aniversario,MAX(CONST_DIAS_LIMITE-DAY(_Fecha_Pago _Anterior),1))</f>
        <v>30</v>
      </c>
    </row>
    <row r="79" spans="1:9">
      <c r="A79" s="14">
        <v>60</v>
      </c>
      <c r="D79" s="14">
        <f>FREC.DiasPorPeriodo</f>
        <v>30</v>
      </c>
      <c r="E79" s="946">
        <f>INDEX(_Datos 79:79,,MATCH(_Búsqueda_Fechas_Pago, _Datos _Headers,0))</f>
        <v>43998</v>
      </c>
      <c r="F79" s="827">
        <f>INDEX(_Datos 79:79,,MATCH(_Búsqueda_Duración, _Datos _Headers,0))</f>
        <v>30</v>
      </c>
      <c r="H79" s="82">
        <f t="shared" si="1"/>
        <v>43998</v>
      </c>
      <c r="I79" s="14">
        <f>CONST_DIAS_BASE_INTERES + IF(DAY(_Fecha_Pago _Anterior)&gt;=Const_Dia_Corte_Aniversario,MAX(CONST_DIAS_LIMITE-DAY(_Fecha_Pago _Anterior),1))</f>
        <v>30</v>
      </c>
    </row>
  </sheetData>
  <phoneticPr fontId="24"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workbookViewId="1"/>
  </sheetViews>
  <sheetFormatPr defaultColWidth="9.140625" defaultRowHeight="15"/>
  <cols>
    <col min="1" max="1" width="24" customWidth="1"/>
    <col min="2" max="2" width="25.5703125" bestFit="1" customWidth="1"/>
    <col min="3" max="3" width="6" customWidth="1"/>
    <col min="4" max="4" width="24" bestFit="1" customWidth="1"/>
    <col min="5" max="5" width="25.5703125" customWidth="1"/>
    <col min="6" max="6" width="6" customWidth="1"/>
    <col min="7" max="7" width="24" bestFit="1" customWidth="1"/>
    <col min="8" max="8" width="25.85546875" customWidth="1"/>
    <col min="9" max="9" width="6" customWidth="1"/>
    <col min="10" max="10" width="24" bestFit="1" customWidth="1"/>
    <col min="11" max="11" width="48.5703125" bestFit="1" customWidth="1"/>
  </cols>
  <sheetData>
    <row r="1" spans="1:11" ht="20.25" thickBot="1">
      <c r="A1" s="12" t="s">
        <v>65</v>
      </c>
      <c r="B1" s="12"/>
      <c r="C1" s="12"/>
      <c r="D1" s="12"/>
      <c r="E1" s="12"/>
      <c r="F1" s="12"/>
      <c r="G1" s="12"/>
      <c r="H1" s="12"/>
      <c r="I1" s="12"/>
      <c r="J1" s="12"/>
      <c r="K1" s="12"/>
    </row>
    <row r="2" spans="1:11" ht="15.75" thickTop="1">
      <c r="I2" s="701"/>
      <c r="J2" s="701"/>
      <c r="K2" s="701"/>
    </row>
    <row r="3" spans="1:11" ht="15.75" thickBot="1">
      <c r="A3" s="305" t="s">
        <v>141</v>
      </c>
      <c r="B3" s="305"/>
      <c r="C3" s="305"/>
      <c r="D3" s="305"/>
      <c r="E3" s="305"/>
      <c r="F3" s="305"/>
      <c r="G3" s="305"/>
      <c r="H3" s="305"/>
      <c r="I3" s="305"/>
      <c r="J3" s="305"/>
      <c r="K3" s="305"/>
    </row>
    <row r="5" spans="1:11">
      <c r="A5" s="45" t="s">
        <v>184</v>
      </c>
      <c r="B5" s="45" t="s">
        <v>185</v>
      </c>
      <c r="D5" s="701"/>
      <c r="E5" s="701"/>
      <c r="F5" s="701"/>
      <c r="G5" s="45" t="s">
        <v>184</v>
      </c>
      <c r="H5" s="45" t="s">
        <v>185</v>
      </c>
      <c r="J5" s="45" t="s">
        <v>184</v>
      </c>
      <c r="K5" s="45" t="s">
        <v>185</v>
      </c>
    </row>
    <row r="6" spans="1:11">
      <c r="A6" s="13" t="s">
        <v>143</v>
      </c>
      <c r="B6" s="13" t="s">
        <v>183</v>
      </c>
      <c r="D6" s="701"/>
      <c r="E6" s="701"/>
      <c r="F6" s="701"/>
      <c r="G6" s="13" t="s">
        <v>142</v>
      </c>
      <c r="H6" s="13" t="s">
        <v>183</v>
      </c>
      <c r="J6" s="13" t="s">
        <v>171</v>
      </c>
      <c r="K6" s="13" t="s">
        <v>172</v>
      </c>
    </row>
    <row r="7" spans="1:11">
      <c r="D7" s="701"/>
      <c r="E7" s="701"/>
      <c r="F7" s="701"/>
    </row>
    <row r="8" spans="1:11">
      <c r="A8" s="312" t="s">
        <v>43</v>
      </c>
      <c r="B8" s="74">
        <f ca="1" xml:space="preserve"> MontoFinanciarAuto + (MontoFinanciarSeguros * SeguroEsMultianual? )</f>
        <v>225000</v>
      </c>
      <c r="D8" s="701"/>
      <c r="E8" s="701"/>
      <c r="F8" s="701"/>
      <c r="G8" s="312" t="s">
        <v>43</v>
      </c>
      <c r="H8" s="74">
        <f ca="1">( MontoFinanciarSeguros - DañosValFac1erAño ) * SeguroEsAnual? * SeguroEsFinanciado?</f>
        <v>0</v>
      </c>
      <c r="J8" s="327" t="s">
        <v>44</v>
      </c>
      <c r="K8" s="137">
        <v>30</v>
      </c>
    </row>
    <row r="9" spans="1:11">
      <c r="A9" s="313" t="s">
        <v>44</v>
      </c>
      <c r="B9" s="77">
        <v>30</v>
      </c>
      <c r="D9" s="701"/>
      <c r="E9" s="701"/>
      <c r="F9" s="701"/>
      <c r="G9" s="313" t="s">
        <v>44</v>
      </c>
      <c r="H9" s="77">
        <v>30</v>
      </c>
      <c r="J9" s="313" t="s">
        <v>45</v>
      </c>
      <c r="K9" s="77">
        <f ca="1">PeriodosPorAño</f>
        <v>12</v>
      </c>
    </row>
    <row r="10" spans="1:11">
      <c r="A10" s="313" t="s">
        <v>1731</v>
      </c>
      <c r="B10" s="77">
        <f ca="1">PeriodosPorAño</f>
        <v>12</v>
      </c>
      <c r="D10" s="701"/>
      <c r="E10" s="701"/>
      <c r="F10" s="701"/>
      <c r="G10" s="313" t="s">
        <v>1731</v>
      </c>
      <c r="H10" s="77">
        <f ca="1">PeriodosPorAño</f>
        <v>12</v>
      </c>
      <c r="J10" s="313" t="s">
        <v>46</v>
      </c>
      <c r="K10" s="77">
        <f ca="1">NumeroDePagos</f>
        <v>12</v>
      </c>
    </row>
    <row r="11" spans="1:11">
      <c r="A11" s="313" t="s">
        <v>1728</v>
      </c>
      <c r="B11" s="77">
        <f ca="1">NumeroDePagos</f>
        <v>12</v>
      </c>
      <c r="D11" s="701"/>
      <c r="E11" s="701"/>
      <c r="F11" s="701"/>
      <c r="G11" s="313" t="s">
        <v>1728</v>
      </c>
      <c r="H11" s="77">
        <f ca="1">NumeroDePagos</f>
        <v>12</v>
      </c>
      <c r="J11" s="313" t="s">
        <v>1729</v>
      </c>
      <c r="K11" s="302">
        <f ca="1">IvaParaIntereses</f>
        <v>0.12</v>
      </c>
    </row>
    <row r="12" spans="1:11">
      <c r="A12" s="313" t="s">
        <v>1729</v>
      </c>
      <c r="B12" s="302">
        <f ca="1">IvaParaIntereses</f>
        <v>0.12</v>
      </c>
      <c r="D12" s="701"/>
      <c r="E12" s="701"/>
      <c r="F12" s="701"/>
      <c r="G12" s="313" t="s">
        <v>1729</v>
      </c>
      <c r="H12" s="302">
        <f ca="1">IvaParaIntereses</f>
        <v>0.12</v>
      </c>
      <c r="J12" s="313" t="s">
        <v>48</v>
      </c>
      <c r="K12" s="302">
        <f ca="1">TasaInteres</f>
        <v>0.129</v>
      </c>
    </row>
    <row r="13" spans="1:11">
      <c r="A13" s="313" t="s">
        <v>1714</v>
      </c>
      <c r="B13" s="302">
        <f ca="1">TasaInteres</f>
        <v>0.129</v>
      </c>
      <c r="D13" s="701"/>
      <c r="E13" s="701"/>
      <c r="F13" s="701"/>
      <c r="G13" s="313" t="s">
        <v>1714</v>
      </c>
      <c r="H13" s="302">
        <f ca="1">TasaInteres</f>
        <v>0.129</v>
      </c>
      <c r="J13" s="313" t="s">
        <v>38</v>
      </c>
      <c r="K13" s="77">
        <f>CONST_DIAS_EN_AÑO</f>
        <v>360</v>
      </c>
    </row>
    <row r="14" spans="1:11">
      <c r="A14" s="313" t="s">
        <v>38</v>
      </c>
      <c r="B14" s="77">
        <f>CONST_DIAS_EN_AÑO</f>
        <v>360</v>
      </c>
      <c r="D14" s="701"/>
      <c r="E14" s="701"/>
      <c r="F14" s="701"/>
      <c r="G14" s="313" t="s">
        <v>38</v>
      </c>
      <c r="H14" s="77">
        <f>CONST_DIAS_EN_AÑO</f>
        <v>360</v>
      </c>
      <c r="J14" s="313" t="s">
        <v>49</v>
      </c>
      <c r="K14" s="77">
        <f ca="1">Id_Abono_Anticipado</f>
        <v>1</v>
      </c>
    </row>
    <row r="15" spans="1:11">
      <c r="A15" s="314" t="s">
        <v>66</v>
      </c>
      <c r="B15" s="77" t="s">
        <v>1730</v>
      </c>
      <c r="D15" s="701"/>
      <c r="E15" s="701"/>
      <c r="F15" s="701"/>
      <c r="G15" s="314" t="s">
        <v>66</v>
      </c>
      <c r="H15" s="77" t="s">
        <v>1730</v>
      </c>
      <c r="J15" s="314" t="s">
        <v>158</v>
      </c>
      <c r="K15" s="77" t="s">
        <v>143</v>
      </c>
    </row>
    <row r="16" spans="1:11">
      <c r="A16" s="314" t="s">
        <v>67</v>
      </c>
      <c r="B16" s="38" t="b">
        <v>0</v>
      </c>
      <c r="D16" s="701"/>
      <c r="E16" s="701"/>
      <c r="F16" s="701"/>
      <c r="G16" s="314" t="s">
        <v>67</v>
      </c>
      <c r="H16" s="38" t="b">
        <v>1</v>
      </c>
      <c r="J16" s="314" t="s">
        <v>160</v>
      </c>
      <c r="K16" s="77" t="s">
        <v>142</v>
      </c>
    </row>
    <row r="17" spans="1:11">
      <c r="A17" s="314" t="s">
        <v>134</v>
      </c>
      <c r="B17" s="75">
        <f ca="1" xml:space="preserve"> DañosValFac1erAño * NOT(SeguroEsMultianual?)</f>
        <v>308.58823125000004</v>
      </c>
      <c r="D17" s="701"/>
      <c r="E17" s="701"/>
      <c r="F17" s="701"/>
      <c r="G17" s="314" t="s">
        <v>134</v>
      </c>
      <c r="H17" s="75">
        <f ca="1" xml:space="preserve"> DañosValFac1erAño * SeguroEsAnual? * SeguroEsFinanciado?</f>
        <v>0</v>
      </c>
      <c r="J17" s="315" t="s">
        <v>137</v>
      </c>
      <c r="K17" s="40" t="s">
        <v>33</v>
      </c>
    </row>
    <row r="18" spans="1:11">
      <c r="A18" s="313" t="s">
        <v>1725</v>
      </c>
      <c r="B18" s="77">
        <f ca="1">Id_Abono_Anticipado</f>
        <v>1</v>
      </c>
      <c r="D18" s="701"/>
      <c r="E18" s="701"/>
      <c r="F18" s="701"/>
      <c r="G18" s="313" t="s">
        <v>1725</v>
      </c>
      <c r="H18" s="77">
        <f ca="1">Id_Abono_Anticipado</f>
        <v>1</v>
      </c>
    </row>
    <row r="19" spans="1:11">
      <c r="A19" s="314" t="s">
        <v>137</v>
      </c>
      <c r="B19" s="77" t="s">
        <v>174</v>
      </c>
      <c r="D19" s="701"/>
      <c r="E19" s="701"/>
      <c r="F19" s="701"/>
      <c r="G19" s="314" t="s">
        <v>137</v>
      </c>
      <c r="H19" s="77" t="s">
        <v>175</v>
      </c>
    </row>
    <row r="20" spans="1:11">
      <c r="A20" s="315" t="s">
        <v>136</v>
      </c>
      <c r="B20" s="78" t="s">
        <v>2205</v>
      </c>
      <c r="D20" s="701"/>
      <c r="E20" s="701"/>
      <c r="F20" s="701"/>
      <c r="G20" s="315" t="s">
        <v>136</v>
      </c>
      <c r="H20" s="78" t="s">
        <v>2205</v>
      </c>
    </row>
    <row r="22" spans="1:11" ht="15.75" thickBot="1">
      <c r="A22" s="305" t="s">
        <v>103</v>
      </c>
      <c r="B22" s="305"/>
      <c r="C22" s="305"/>
      <c r="D22" s="305"/>
      <c r="E22" s="305"/>
      <c r="F22" s="305"/>
      <c r="G22" s="305"/>
      <c r="H22" s="305"/>
      <c r="I22" s="305"/>
      <c r="J22" s="305"/>
      <c r="K22" s="305"/>
    </row>
    <row r="24" spans="1:11">
      <c r="A24" s="45" t="s">
        <v>184</v>
      </c>
      <c r="B24" s="45" t="s">
        <v>185</v>
      </c>
      <c r="D24" s="45" t="s">
        <v>184</v>
      </c>
      <c r="E24" s="45" t="s">
        <v>185</v>
      </c>
      <c r="G24" s="45" t="s">
        <v>184</v>
      </c>
      <c r="H24" s="45" t="s">
        <v>185</v>
      </c>
      <c r="J24" s="45" t="s">
        <v>184</v>
      </c>
      <c r="K24" s="45" t="s">
        <v>185</v>
      </c>
    </row>
    <row r="25" spans="1:11">
      <c r="A25" s="13" t="s">
        <v>101</v>
      </c>
      <c r="B25" s="13" t="s">
        <v>102</v>
      </c>
      <c r="D25" s="13" t="s">
        <v>104</v>
      </c>
      <c r="E25" s="13" t="s">
        <v>102</v>
      </c>
      <c r="G25" s="13" t="s">
        <v>105</v>
      </c>
      <c r="H25" s="13" t="s">
        <v>102</v>
      </c>
      <c r="J25" s="13" t="s">
        <v>2512</v>
      </c>
      <c r="K25" s="344" t="s">
        <v>2513</v>
      </c>
    </row>
    <row r="27" spans="1:11">
      <c r="A27" s="33" t="s">
        <v>43</v>
      </c>
      <c r="B27" s="74">
        <f ca="1">MontoFinanciarAuto</f>
        <v>225000</v>
      </c>
      <c r="D27" s="33" t="s">
        <v>43</v>
      </c>
      <c r="E27" s="74">
        <f ca="1">MontoFinanciarSeguros * SeguroEsMultianual?</f>
        <v>0</v>
      </c>
      <c r="G27" s="33" t="s">
        <v>43</v>
      </c>
      <c r="H27" s="74">
        <f ca="1">( MontoFinanciarSeguros - DañosValFac1erAño ) * SeguroEsAnual? * SeguroEsFinanciado?</f>
        <v>0</v>
      </c>
      <c r="J27" s="33" t="s">
        <v>2506</v>
      </c>
      <c r="K27" s="74">
        <f ca="1">( PrimaTotalSeguros - DañosValFac1erAño ) * SeguroEsAnual?</f>
        <v>11116.156650000001</v>
      </c>
    </row>
    <row r="28" spans="1:11">
      <c r="A28" s="35" t="s">
        <v>44</v>
      </c>
      <c r="B28" s="77">
        <v>30</v>
      </c>
      <c r="D28" s="35" t="s">
        <v>44</v>
      </c>
      <c r="E28" s="77">
        <v>30</v>
      </c>
      <c r="G28" s="35" t="s">
        <v>44</v>
      </c>
      <c r="H28" s="77">
        <v>30</v>
      </c>
      <c r="J28" s="35" t="s">
        <v>2508</v>
      </c>
      <c r="K28" s="77">
        <f ca="1">PeriodosPorAño</f>
        <v>12</v>
      </c>
    </row>
    <row r="29" spans="1:11">
      <c r="A29" s="35" t="s">
        <v>1731</v>
      </c>
      <c r="B29" s="77">
        <f ca="1">PeriodosPorAño</f>
        <v>12</v>
      </c>
      <c r="D29" s="35" t="s">
        <v>1731</v>
      </c>
      <c r="E29" s="77">
        <f ca="1">PeriodosPorAño</f>
        <v>12</v>
      </c>
      <c r="G29" s="35" t="s">
        <v>1731</v>
      </c>
      <c r="H29" s="77">
        <f ca="1">PeriodosPorAño</f>
        <v>12</v>
      </c>
      <c r="J29" s="39" t="s">
        <v>2509</v>
      </c>
      <c r="K29" s="78">
        <f ca="1">NumeroDePagos</f>
        <v>12</v>
      </c>
    </row>
    <row r="30" spans="1:11">
      <c r="A30" s="35" t="s">
        <v>1728</v>
      </c>
      <c r="B30" s="77">
        <f ca="1">NumeroDePagos</f>
        <v>12</v>
      </c>
      <c r="D30" s="35" t="s">
        <v>1728</v>
      </c>
      <c r="E30" s="77">
        <f ca="1">NumeroDePagos</f>
        <v>12</v>
      </c>
      <c r="G30" s="35" t="s">
        <v>1728</v>
      </c>
      <c r="H30" s="77">
        <f ca="1">NumeroDePagos</f>
        <v>12</v>
      </c>
    </row>
    <row r="31" spans="1:11">
      <c r="A31" s="35" t="s">
        <v>1729</v>
      </c>
      <c r="B31" s="302">
        <f ca="1">IvaParaIntereses</f>
        <v>0.12</v>
      </c>
      <c r="D31" s="35" t="s">
        <v>1729</v>
      </c>
      <c r="E31" s="302">
        <f ca="1">IvaParaIntereses</f>
        <v>0.12</v>
      </c>
      <c r="G31" s="35" t="s">
        <v>1729</v>
      </c>
      <c r="H31" s="302">
        <f ca="1">IvaParaIntereses</f>
        <v>0.12</v>
      </c>
    </row>
    <row r="32" spans="1:11">
      <c r="A32" s="35" t="s">
        <v>1714</v>
      </c>
      <c r="B32" s="302">
        <f ca="1">TasaInteres</f>
        <v>0.129</v>
      </c>
      <c r="D32" s="35" t="s">
        <v>1714</v>
      </c>
      <c r="E32" s="302">
        <f ca="1">TasaInteres</f>
        <v>0.129</v>
      </c>
      <c r="G32" s="35" t="s">
        <v>1714</v>
      </c>
      <c r="H32" s="302">
        <f ca="1">TasaInteres</f>
        <v>0.129</v>
      </c>
    </row>
    <row r="33" spans="1:8">
      <c r="A33" s="35" t="s">
        <v>38</v>
      </c>
      <c r="B33" s="77">
        <f>CONST_DIAS_EN_AÑO</f>
        <v>360</v>
      </c>
      <c r="D33" s="35" t="s">
        <v>38</v>
      </c>
      <c r="E33" s="77">
        <f>CONST_DIAS_EN_AÑO</f>
        <v>360</v>
      </c>
      <c r="G33" s="35" t="s">
        <v>38</v>
      </c>
      <c r="H33" s="77">
        <f>CONST_DIAS_EN_AÑO</f>
        <v>360</v>
      </c>
    </row>
    <row r="34" spans="1:8">
      <c r="A34" s="35" t="s">
        <v>66</v>
      </c>
      <c r="B34" s="77" t="s">
        <v>1730</v>
      </c>
      <c r="D34" s="35" t="s">
        <v>66</v>
      </c>
      <c r="E34" s="77" t="s">
        <v>1730</v>
      </c>
      <c r="G34" s="35" t="s">
        <v>66</v>
      </c>
      <c r="H34" s="77" t="s">
        <v>1730</v>
      </c>
    </row>
    <row r="35" spans="1:8">
      <c r="A35" s="35" t="s">
        <v>67</v>
      </c>
      <c r="B35" s="77" t="b">
        <v>0</v>
      </c>
      <c r="D35" s="35" t="s">
        <v>67</v>
      </c>
      <c r="E35" s="77" t="b">
        <v>0</v>
      </c>
      <c r="G35" s="35" t="s">
        <v>67</v>
      </c>
      <c r="H35" s="77" t="b">
        <v>1</v>
      </c>
    </row>
    <row r="36" spans="1:8">
      <c r="A36" s="35" t="s">
        <v>68</v>
      </c>
      <c r="B36" s="75">
        <v>0</v>
      </c>
      <c r="D36" s="35" t="s">
        <v>68</v>
      </c>
      <c r="E36" s="75">
        <v>0</v>
      </c>
      <c r="G36" s="35" t="s">
        <v>68</v>
      </c>
      <c r="H36" s="75">
        <f ca="1" xml:space="preserve"> DañosValFac1erAño * SeguroEsAnual? * SeguroEsFinanciado?</f>
        <v>0</v>
      </c>
    </row>
    <row r="37" spans="1:8">
      <c r="A37" s="39" t="s">
        <v>69</v>
      </c>
      <c r="B37" s="78" t="s">
        <v>35</v>
      </c>
      <c r="D37" s="39" t="s">
        <v>69</v>
      </c>
      <c r="E37" s="78" t="s">
        <v>35</v>
      </c>
      <c r="G37" s="39" t="s">
        <v>69</v>
      </c>
      <c r="H37" s="78" t="s">
        <v>35</v>
      </c>
    </row>
  </sheetData>
  <phoneticPr fontId="2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17">
    <tabColor theme="4" tint="-0.499984740745262"/>
  </sheetPr>
  <dimension ref="A1:AO260"/>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5.85546875" style="14" bestFit="1" customWidth="1"/>
    <col min="7" max="7" width="1.42578125" style="14" customWidth="1"/>
    <col min="8" max="8" width="1.42578125" style="67" customWidth="1"/>
    <col min="9" max="9" width="1.42578125" style="14" customWidth="1"/>
    <col min="10" max="10" width="13.42578125" style="14" customWidth="1"/>
    <col min="11" max="11" width="1.7109375" style="14" bestFit="1" customWidth="1"/>
    <col min="12" max="12" width="13" style="20" customWidth="1"/>
    <col min="13" max="15" width="14.42578125" style="20" customWidth="1"/>
    <col min="16" max="18" width="13" style="20" customWidth="1"/>
    <col min="19" max="19" width="14.42578125" style="20" customWidth="1"/>
    <col min="20" max="20" width="13" style="20" customWidth="1"/>
    <col min="21" max="21" width="1.42578125" style="14" customWidth="1"/>
    <col min="22" max="22" width="14.5703125" style="14" customWidth="1"/>
    <col min="23" max="23" width="1.7109375" style="14" customWidth="1"/>
    <col min="24" max="26" width="14.5703125" style="14" customWidth="1"/>
    <col min="27" max="27" width="1.7109375" style="14" customWidth="1"/>
    <col min="28" max="28" width="14.42578125" style="14" customWidth="1"/>
    <col min="29" max="29" width="1.42578125" style="14" customWidth="1"/>
    <col min="30" max="31" width="14.5703125" style="14" customWidth="1"/>
    <col min="32" max="32" width="1.42578125" style="14" customWidth="1"/>
    <col min="33" max="34" width="14.5703125" style="14" customWidth="1"/>
    <col min="35" max="35" width="1.42578125" style="14" customWidth="1"/>
    <col min="36" max="37" width="14.5703125" style="14" customWidth="1"/>
    <col min="38" max="16384" width="9.140625" style="14"/>
  </cols>
  <sheetData>
    <row r="1" spans="1:37" s="670" customFormat="1">
      <c r="D1"/>
      <c r="H1" s="67"/>
      <c r="L1" s="20"/>
      <c r="M1" s="20"/>
      <c r="N1" s="20"/>
      <c r="O1" s="20"/>
      <c r="P1" s="20"/>
      <c r="Q1" s="20"/>
      <c r="R1" s="20"/>
      <c r="S1" s="20"/>
      <c r="T1" s="20"/>
    </row>
    <row r="2" spans="1:37" ht="20.25" thickBot="1">
      <c r="A2" s="84"/>
      <c r="B2" s="84"/>
      <c r="C2" s="84"/>
      <c r="D2" s="12"/>
      <c r="E2" s="84"/>
      <c r="F2" s="84"/>
      <c r="G2" s="84"/>
      <c r="H2" s="280"/>
      <c r="I2" s="84"/>
      <c r="J2" s="316" t="s">
        <v>117</v>
      </c>
      <c r="K2" s="84"/>
      <c r="L2" s="119" t="s">
        <v>144</v>
      </c>
      <c r="M2" s="94"/>
      <c r="N2" s="94"/>
      <c r="O2" s="94"/>
      <c r="P2" s="94"/>
      <c r="Q2" s="94"/>
      <c r="R2" s="94"/>
      <c r="S2" s="94"/>
      <c r="T2" s="94"/>
      <c r="U2" s="84"/>
      <c r="V2" s="84"/>
      <c r="W2" s="84"/>
      <c r="X2" s="84"/>
      <c r="Y2" s="84"/>
      <c r="Z2" s="84"/>
      <c r="AA2" s="84"/>
      <c r="AB2" s="84"/>
      <c r="AC2" s="84"/>
      <c r="AD2" s="84"/>
      <c r="AE2" s="84"/>
      <c r="AF2" s="84"/>
      <c r="AG2" s="84"/>
      <c r="AH2" s="84"/>
      <c r="AI2" s="84"/>
      <c r="AJ2" s="84"/>
      <c r="AK2" s="278" t="s">
        <v>126</v>
      </c>
    </row>
    <row r="3" spans="1:37" s="108" customFormat="1" ht="15.75" thickTop="1">
      <c r="D3"/>
      <c r="H3" s="282"/>
      <c r="J3" s="269" t="s">
        <v>1718</v>
      </c>
      <c r="K3" s="270"/>
      <c r="L3" s="271" t="s">
        <v>120</v>
      </c>
      <c r="M3" s="88"/>
      <c r="N3" s="88"/>
      <c r="O3" s="88"/>
      <c r="P3" s="88"/>
      <c r="Q3" s="88"/>
      <c r="R3" s="88"/>
      <c r="S3" s="88"/>
      <c r="T3" s="88"/>
    </row>
    <row r="4" spans="1:37" s="270" customFormat="1" hidden="1">
      <c r="B4"/>
      <c r="C4"/>
      <c r="D4"/>
      <c r="E4"/>
      <c r="F4"/>
      <c r="H4" s="283"/>
    </row>
    <row r="5" spans="1:37" s="108" customFormat="1" hidden="1">
      <c r="B5"/>
      <c r="C5"/>
      <c r="D5"/>
      <c r="E5"/>
      <c r="F5"/>
      <c r="H5" s="282"/>
    </row>
    <row r="6" spans="1:37" hidden="1">
      <c r="B6"/>
      <c r="C6"/>
      <c r="E6"/>
      <c r="F6"/>
      <c r="J6" s="270"/>
      <c r="K6" s="270"/>
      <c r="L6" s="270"/>
      <c r="M6" s="272"/>
      <c r="N6" s="272"/>
      <c r="O6" s="272"/>
      <c r="P6" s="272"/>
      <c r="Q6" s="272"/>
      <c r="R6" s="272"/>
      <c r="S6" s="272"/>
      <c r="T6" s="272"/>
    </row>
    <row r="7" spans="1:37" hidden="1">
      <c r="B7"/>
      <c r="C7"/>
      <c r="E7"/>
      <c r="F7"/>
      <c r="K7" s="36"/>
      <c r="L7" s="37"/>
      <c r="N7" s="273"/>
      <c r="O7" s="273"/>
    </row>
    <row r="8" spans="1:37" hidden="1">
      <c r="B8"/>
      <c r="C8"/>
      <c r="E8"/>
      <c r="F8"/>
      <c r="K8" s="36"/>
      <c r="L8" s="37"/>
      <c r="N8" s="273"/>
      <c r="O8" s="273"/>
      <c r="P8" s="103"/>
    </row>
    <row r="9" spans="1:37" hidden="1">
      <c r="B9"/>
      <c r="C9"/>
      <c r="E9"/>
      <c r="F9"/>
      <c r="K9" s="36"/>
      <c r="L9" s="37"/>
      <c r="N9" s="273"/>
      <c r="O9" s="273"/>
      <c r="P9" s="103"/>
      <c r="S9" s="99"/>
    </row>
    <row r="10" spans="1:37" hidden="1">
      <c r="B10"/>
      <c r="C10"/>
      <c r="E10"/>
      <c r="F10"/>
      <c r="K10" s="36"/>
      <c r="L10" s="37"/>
      <c r="N10" s="273"/>
      <c r="O10" s="273"/>
      <c r="S10" s="99"/>
    </row>
    <row r="11" spans="1:37" hidden="1">
      <c r="B11"/>
      <c r="C11"/>
      <c r="E11"/>
      <c r="F11"/>
      <c r="K11" s="36"/>
      <c r="L11" s="37"/>
      <c r="N11" s="273"/>
      <c r="O11" s="273"/>
      <c r="P11" s="103"/>
      <c r="R11" s="104"/>
    </row>
    <row r="12" spans="1:37" hidden="1">
      <c r="B12"/>
      <c r="C12"/>
      <c r="E12"/>
      <c r="F12"/>
      <c r="K12" s="36"/>
      <c r="L12" s="37"/>
      <c r="N12" s="273"/>
      <c r="O12" s="273"/>
    </row>
    <row r="13" spans="1:37">
      <c r="B13"/>
      <c r="C13"/>
      <c r="E13"/>
      <c r="F13"/>
      <c r="K13" s="36"/>
      <c r="L13" s="37"/>
    </row>
    <row r="14" spans="1:37">
      <c r="B14"/>
      <c r="C14"/>
      <c r="E14"/>
      <c r="F14"/>
      <c r="Q14" s="103"/>
      <c r="X14" s="915" t="s">
        <v>1700</v>
      </c>
      <c r="Y14" s="916"/>
      <c r="Z14" s="917"/>
      <c r="AB14" s="317" t="s">
        <v>145</v>
      </c>
      <c r="AC14" s="318"/>
      <c r="AD14" s="912" t="s">
        <v>146</v>
      </c>
      <c r="AE14" s="912"/>
      <c r="AF14" s="318"/>
      <c r="AG14" s="912" t="s">
        <v>147</v>
      </c>
      <c r="AH14" s="912"/>
      <c r="AI14" s="318"/>
      <c r="AJ14" s="912" t="s">
        <v>148</v>
      </c>
      <c r="AK14" s="913"/>
    </row>
    <row r="15" spans="1:37" s="108" customFormat="1" ht="15" customHeight="1">
      <c r="B15"/>
      <c r="C15"/>
      <c r="D15"/>
      <c r="E15"/>
      <c r="F15"/>
      <c r="H15" s="282"/>
      <c r="L15" s="110"/>
      <c r="M15" s="88"/>
      <c r="N15" s="88"/>
      <c r="O15" s="88"/>
      <c r="P15" s="88"/>
      <c r="Q15" s="88"/>
      <c r="R15" s="88"/>
      <c r="S15" s="88"/>
      <c r="T15" s="88"/>
    </row>
    <row r="16" spans="1:37" s="90" customFormat="1" ht="45" customHeight="1">
      <c r="B16" s="284" t="s">
        <v>1734</v>
      </c>
      <c r="C16" s="282"/>
      <c r="D16" t="s">
        <v>555</v>
      </c>
      <c r="E16" s="284" t="s">
        <v>489</v>
      </c>
      <c r="F16" s="282"/>
      <c r="H16" s="285"/>
      <c r="J16" s="92" t="s">
        <v>50</v>
      </c>
      <c r="K16" s="98" t="s">
        <v>555</v>
      </c>
      <c r="L16" s="91" t="s">
        <v>1699</v>
      </c>
      <c r="M16" s="91" t="s">
        <v>1700</v>
      </c>
      <c r="N16" s="91" t="s">
        <v>32</v>
      </c>
      <c r="O16" s="91" t="s">
        <v>42</v>
      </c>
      <c r="P16" s="91" t="s">
        <v>1701</v>
      </c>
      <c r="Q16" s="91" t="s">
        <v>492</v>
      </c>
      <c r="R16" s="91" t="s">
        <v>1702</v>
      </c>
      <c r="S16" s="91" t="s">
        <v>1704</v>
      </c>
      <c r="T16" s="91" t="s">
        <v>1703</v>
      </c>
      <c r="U16" s="90" t="s">
        <v>555</v>
      </c>
      <c r="V16" s="93" t="s">
        <v>149</v>
      </c>
      <c r="W16" s="98" t="s">
        <v>555</v>
      </c>
      <c r="X16" s="91" t="s">
        <v>63</v>
      </c>
      <c r="Y16" s="91" t="s">
        <v>150</v>
      </c>
      <c r="Z16" s="91" t="s">
        <v>1717</v>
      </c>
      <c r="AA16" s="98"/>
      <c r="AB16" s="93" t="s">
        <v>1724</v>
      </c>
      <c r="AC16" s="90" t="s">
        <v>555</v>
      </c>
      <c r="AD16" s="93" t="s">
        <v>151</v>
      </c>
      <c r="AE16" s="93" t="s">
        <v>152</v>
      </c>
      <c r="AF16" s="90" t="s">
        <v>555</v>
      </c>
      <c r="AG16" s="93" t="s">
        <v>151</v>
      </c>
      <c r="AH16" s="93" t="s">
        <v>152</v>
      </c>
      <c r="AI16" s="90" t="s">
        <v>555</v>
      </c>
      <c r="AJ16" s="91" t="s">
        <v>151</v>
      </c>
      <c r="AK16" s="91" t="s">
        <v>152</v>
      </c>
    </row>
    <row r="17" spans="2:41">
      <c r="B17" s="319" t="s">
        <v>44</v>
      </c>
      <c r="C17" s="291">
        <f>'Configuración de Tablas'!K8</f>
        <v>30</v>
      </c>
      <c r="D17" s="117"/>
      <c r="E17" s="289" t="s">
        <v>41</v>
      </c>
      <c r="F17" s="320">
        <f ca="1">Tasa.Interes/Periodos.Por.Año</f>
        <v>1.0750000000000001E-2</v>
      </c>
    </row>
    <row r="18" spans="2:41">
      <c r="B18" s="321" t="s">
        <v>45</v>
      </c>
      <c r="C18" s="291">
        <f ca="1">'Configuración de Tablas'!K9</f>
        <v>12</v>
      </c>
      <c r="D18" s="117"/>
      <c r="E18" s="289" t="s">
        <v>37</v>
      </c>
      <c r="F18" s="320">
        <f ca="1">Tasa.Interes/Dias.En.Año</f>
        <v>3.5833333333333333E-4</v>
      </c>
      <c r="J18" s="44" t="s">
        <v>1710</v>
      </c>
      <c r="M18" s="86">
        <f ca="1">SUM(_Capital)</f>
        <v>235000.00000000003</v>
      </c>
      <c r="N18" s="86"/>
      <c r="O18" s="86"/>
      <c r="P18" s="86">
        <f ca="1">SUM(_Interes)</f>
        <v>15938.710301585917</v>
      </c>
      <c r="Q18" s="86">
        <f ca="1">SUM(_IVA)</f>
        <v>1912.6452361903098</v>
      </c>
      <c r="S18" s="86">
        <f>SUM(_Abono_Anticipado)</f>
        <v>0</v>
      </c>
      <c r="AD18" s="914" t="s">
        <v>153</v>
      </c>
      <c r="AE18" s="914"/>
      <c r="AJ18" s="111" t="s">
        <v>173</v>
      </c>
      <c r="AN18" s="256" t="s">
        <v>81</v>
      </c>
    </row>
    <row r="19" spans="2:41">
      <c r="B19" s="321" t="s">
        <v>46</v>
      </c>
      <c r="C19" s="291">
        <f ca="1">'Configuración de Tablas'!K10</f>
        <v>12</v>
      </c>
      <c r="D19" s="117"/>
      <c r="E19" s="322" t="s">
        <v>47</v>
      </c>
      <c r="F19" s="323">
        <f ca="1" xml:space="preserve"> Tasa.Diaria * Dias.Por.Periodo</f>
        <v>1.0749999999999999E-2</v>
      </c>
      <c r="V19"/>
      <c r="X19"/>
      <c r="Y19"/>
      <c r="Z19"/>
      <c r="AC19"/>
      <c r="AD19"/>
      <c r="AE19"/>
      <c r="AF19"/>
      <c r="AG19"/>
      <c r="AH19"/>
      <c r="AI19"/>
      <c r="AJ19"/>
      <c r="AK19"/>
    </row>
    <row r="20" spans="2:41">
      <c r="B20" s="321" t="s">
        <v>1729</v>
      </c>
      <c r="C20" s="294">
        <f ca="1">'Configuración de Tablas'!K11</f>
        <v>0.12</v>
      </c>
      <c r="D20" s="117"/>
      <c r="E20" s="290"/>
      <c r="F20" s="324"/>
      <c r="J20" s="14">
        <v>1</v>
      </c>
      <c r="L20" s="97">
        <f ca="1" xml:space="preserve"> T_AutoYSeguroMulti!Monto.Financiar + T_SeguroAnual!_Saldo_Ciclico</f>
        <v>235000</v>
      </c>
      <c r="M20" s="96">
        <f ca="1">MIN( CHOOSE(Opcion.Abono, _Capital_Opcion_1, _Capital_Opcion_2, _Capital_Opcion_3) _Actual, _Saldo_Inicial _Actual)</f>
        <v>18320.140739259037</v>
      </c>
      <c r="N20" s="96">
        <f ca="1" xml:space="preserve"> _Saldo_Inicial * Tasa.Diaria</f>
        <v>84.208333333333329</v>
      </c>
      <c r="O20" s="97">
        <f>T_AutoYSeguroMulti!_Dias_Interes_Periodo</f>
        <v>20</v>
      </c>
      <c r="P20" s="97">
        <f ca="1" xml:space="preserve"> _Interes_Diario * _Dias_Interes_Periodo</f>
        <v>1684.1666666666665</v>
      </c>
      <c r="Q20" s="97">
        <f ca="1" xml:space="preserve"> _Interes * Iva.Intereses</f>
        <v>202.09999999999997</v>
      </c>
      <c r="R20" s="97">
        <f ca="1">IF(TablaCliente!A20="","",IF(T_Merger!L20=0,0,ROUND(+T_Merger!M20+T_Merger!S20+T_Merger!P20+T_Merger!Q20,2)))</f>
        <v>20206.41</v>
      </c>
      <c r="S20" s="310">
        <f>TablaCliente!_CapturaAbonoAnticipadoTablaCliente</f>
        <v>0</v>
      </c>
      <c r="T20" s="97">
        <f ca="1">MAX( _Saldo_Inicial-_Capital-_Abono_Anticipado, 0)</f>
        <v>216679.85926074095</v>
      </c>
      <c r="V20" t="b">
        <v>1</v>
      </c>
      <c r="W20" s="116"/>
      <c r="X20" s="97">
        <f ca="1" xml:space="preserve"> T_AutoYSeguroMulti!Pago.Fijo + T_SeguroAnual!_Pago_Fijo</f>
        <v>21149.540739259039</v>
      </c>
      <c r="Y20" s="97">
        <f ca="1" xml:space="preserve"> T_AutoYSeguroMulti!_Capital + T_SeguroAnual!_Capital</f>
        <v>18320.140739259037</v>
      </c>
      <c r="Z20" s="97">
        <f t="shared" ref="Z20:Z51" ca="1" si="0">_Pago_Fijo - (_Interes_Diario * Dias.Por.Periodo * (1+Iva.Intereses))</f>
        <v>18320.140739259037</v>
      </c>
      <c r="AA20" s="116"/>
      <c r="AB20" s="275">
        <v>0</v>
      </c>
      <c r="AC20"/>
      <c r="AD20" s="97">
        <v>0</v>
      </c>
      <c r="AE20" s="97">
        <v>0</v>
      </c>
      <c r="AF20" s="97"/>
      <c r="AG20" s="97">
        <f ca="1" xml:space="preserve"> T_SeguroAnual!_Abono_Sobrante</f>
        <v>0</v>
      </c>
      <c r="AH20" s="97">
        <f xml:space="preserve"> _Abono_Anticipado</f>
        <v>0</v>
      </c>
      <c r="AI20"/>
      <c r="AJ20" s="97">
        <f t="array" aca="1" ref="AJ20:AK79" ca="1">CHOOSE(Opcion.Abono, _Abono_Opcion_1, _Abono_Opcion_2, _Abono_Opcion_3 )</f>
        <v>0</v>
      </c>
      <c r="AK20" s="97">
        <f ca="1"/>
        <v>0</v>
      </c>
      <c r="AN20" s="44" t="s">
        <v>126</v>
      </c>
      <c r="AO20" s="102" t="s">
        <v>154</v>
      </c>
    </row>
    <row r="21" spans="2:41">
      <c r="B21" s="321" t="s">
        <v>48</v>
      </c>
      <c r="C21" s="294">
        <f ca="1">'Configuración de Tablas'!K12</f>
        <v>0.129</v>
      </c>
      <c r="D21" s="117"/>
      <c r="E21" t="s">
        <v>31</v>
      </c>
      <c r="F21" t="str">
        <f>CONCATENATE(Nombre.Tabla.Estandar,"!",E21)</f>
        <v>T_AutoYSeguroMulti!Monto.Financiar</v>
      </c>
      <c r="J21" s="14">
        <v>2</v>
      </c>
      <c r="L21" s="20">
        <f ca="1" xml:space="preserve"> ( _Saldo_Final _Anterior + T_SeguroAnual!_Saldo_Ciclico ) * ( _Stopper_Saldo_Inicial )</f>
        <v>216679.85926074095</v>
      </c>
      <c r="M21" s="96">
        <f ca="1">MIN( CHOOSE(Opcion.Abono, _Capital_Opcion_1, _Capital_Opcion_2, _Capital_Opcion_3) _Actual, _Saldo_Inicial _Actual)</f>
        <v>18540.715233759718</v>
      </c>
      <c r="N21" s="96">
        <f t="shared" ref="N21:N51" ca="1" si="1" xml:space="preserve"> _Saldo_Inicial * Tasa.Diaria</f>
        <v>77.643616235098847</v>
      </c>
      <c r="O21" s="97">
        <f>T_AutoYSeguroMulti!_Dias_Interes_Periodo</f>
        <v>30</v>
      </c>
      <c r="P21" s="97">
        <f t="shared" ref="P21:P51" ca="1" si="2" xml:space="preserve"> _Interes_Diario * _Dias_Interes_Periodo</f>
        <v>2329.3084870529656</v>
      </c>
      <c r="Q21" s="97">
        <f t="shared" ref="Q21:Q51" ca="1" si="3" xml:space="preserve"> _Interes * Iva.Intereses</f>
        <v>279.51701844635585</v>
      </c>
      <c r="R21" s="97">
        <f ca="1">IF(TablaCliente!A21="","",IF(T_Merger!L21=0,0,ROUND(+T_Merger!M21+T_Merger!S21+T_Merger!P21+T_Merger!Q21,2)))</f>
        <v>21149.54</v>
      </c>
      <c r="S21" s="310">
        <f>TablaCliente!_CapturaAbonoAnticipadoTablaCliente</f>
        <v>0</v>
      </c>
      <c r="T21" s="97">
        <f t="shared" ref="T21:T51" ca="1" si="4">MAX( _Saldo_Inicial-_Capital-_Abono_Anticipado, 0)</f>
        <v>198139.14402698123</v>
      </c>
      <c r="V21" t="b">
        <f ca="1">_Saldo_Final _Anterior &gt; 0</f>
        <v>1</v>
      </c>
      <c r="W21" s="116"/>
      <c r="X21" s="97">
        <f ca="1" xml:space="preserve"> T_AutoYSeguroMulti!Pago.Fijo + T_SeguroAnual!_Pago_Fijo</f>
        <v>21149.540739259039</v>
      </c>
      <c r="Y21" s="97">
        <f ca="1" xml:space="preserve"> T_AutoYSeguroMulti!_Capital + T_SeguroAnual!_Capital</f>
        <v>18540.715233759718</v>
      </c>
      <c r="Z21" s="97">
        <f t="shared" ca="1" si="0"/>
        <v>18540.715233759718</v>
      </c>
      <c r="AA21" s="116"/>
      <c r="AB21" s="276">
        <v>0</v>
      </c>
      <c r="AC21"/>
      <c r="AD21" s="97">
        <v>0</v>
      </c>
      <c r="AE21" s="97">
        <v>0</v>
      </c>
      <c r="AF21" s="97"/>
      <c r="AG21" s="97">
        <f ca="1" xml:space="preserve"> T_SeguroAnual!_Abono_Sobrante</f>
        <v>0</v>
      </c>
      <c r="AH21" s="97">
        <f t="shared" ref="AH21:AH51" si="5" xml:space="preserve"> _Abono_Anticipado</f>
        <v>0</v>
      </c>
      <c r="AI21"/>
      <c r="AJ21" s="97">
        <f ca="1"/>
        <v>0</v>
      </c>
      <c r="AK21" s="97">
        <f ca="1"/>
        <v>0</v>
      </c>
      <c r="AN21" s="44"/>
      <c r="AO21" s="102" t="s">
        <v>130</v>
      </c>
    </row>
    <row r="22" spans="2:41">
      <c r="B22" s="321" t="s">
        <v>38</v>
      </c>
      <c r="C22" s="288">
        <f>'Configuración de Tablas'!K13</f>
        <v>360</v>
      </c>
      <c r="D22" s="117"/>
      <c r="E22" t="s">
        <v>155</v>
      </c>
      <c r="F22" t="str">
        <f>CONCATENATE(Nombre.Tabla.Estandar,"!",E22)</f>
        <v>T_AutoYSeguroMulti!Pago.Fijo</v>
      </c>
      <c r="J22" s="14">
        <v>3</v>
      </c>
      <c r="L22" s="20">
        <f ca="1" xml:space="preserve"> ( _Saldo_Final _Anterior + T_SeguroAnual!_Saldo_Ciclico ) * ( _Stopper_Saldo_Inicial )</f>
        <v>198139.14402698123</v>
      </c>
      <c r="M22" s="96">
        <f ca="1">MIN( CHOOSE(Opcion.Abono, _Capital_Opcion_1, _Capital_Opcion_2, _Capital_Opcion_3) _Actual, _Saldo_Inicial _Actual)</f>
        <v>18763.945445174184</v>
      </c>
      <c r="N22" s="96">
        <f t="shared" ca="1" si="1"/>
        <v>70.99985994300161</v>
      </c>
      <c r="O22" s="97">
        <f>T_AutoYSeguroMulti!_Dias_Interes_Periodo</f>
        <v>30</v>
      </c>
      <c r="P22" s="97">
        <f t="shared" ca="1" si="2"/>
        <v>2129.9957982900482</v>
      </c>
      <c r="Q22" s="97">
        <f t="shared" ca="1" si="3"/>
        <v>255.59949579480579</v>
      </c>
      <c r="R22" s="97">
        <f ca="1">IF(TablaCliente!A22="","",IF(T_Merger!L22=0,0,ROUND(+T_Merger!M22+T_Merger!S22+T_Merger!P22+T_Merger!Q22,2)))</f>
        <v>21149.54</v>
      </c>
      <c r="S22" s="310">
        <f>TablaCliente!_CapturaAbonoAnticipadoTablaCliente</f>
        <v>0</v>
      </c>
      <c r="T22" s="97">
        <f t="shared" ca="1" si="4"/>
        <v>179375.19858180705</v>
      </c>
      <c r="V22" t="b">
        <f ca="1">_Saldo_Final _Anterior &gt; 0</f>
        <v>1</v>
      </c>
      <c r="W22" s="116"/>
      <c r="X22" s="97">
        <f ca="1" xml:space="preserve"> T_AutoYSeguroMulti!Pago.Fijo + T_SeguroAnual!_Pago_Fijo</f>
        <v>21149.540739259039</v>
      </c>
      <c r="Y22" s="97">
        <f ca="1" xml:space="preserve"> T_AutoYSeguroMulti!_Capital + T_SeguroAnual!_Capital</f>
        <v>18763.945445174184</v>
      </c>
      <c r="Z22" s="97">
        <f t="shared" ca="1" si="0"/>
        <v>18763.945445174184</v>
      </c>
      <c r="AA22" s="116"/>
      <c r="AB22" s="276">
        <v>0</v>
      </c>
      <c r="AC22"/>
      <c r="AD22" s="97">
        <v>0</v>
      </c>
      <c r="AE22" s="97">
        <v>0</v>
      </c>
      <c r="AF22" s="97"/>
      <c r="AG22" s="97">
        <f ca="1" xml:space="preserve"> T_SeguroAnual!_Abono_Sobrante</f>
        <v>0</v>
      </c>
      <c r="AH22" s="97">
        <f t="shared" si="5"/>
        <v>0</v>
      </c>
      <c r="AI22"/>
      <c r="AJ22" s="97">
        <f ca="1"/>
        <v>0</v>
      </c>
      <c r="AK22" s="97">
        <f ca="1"/>
        <v>0</v>
      </c>
      <c r="AN22" s="44"/>
      <c r="AO22" s="102" t="s">
        <v>156</v>
      </c>
    </row>
    <row r="23" spans="2:41">
      <c r="B23" s="321" t="s">
        <v>49</v>
      </c>
      <c r="C23" s="288">
        <f ca="1">'Configuración de Tablas'!K14</f>
        <v>1</v>
      </c>
      <c r="D23" s="117"/>
      <c r="E23" t="s">
        <v>157</v>
      </c>
      <c r="F23" t="str">
        <f>CONCATENATE(Nombre.Tabla.Estandar,"!",E23)</f>
        <v>T_AutoYSeguroMulti!_Capital</v>
      </c>
      <c r="J23" s="14">
        <v>4</v>
      </c>
      <c r="L23" s="20">
        <f ca="1" xml:space="preserve"> ( _Saldo_Final _Anterior + T_SeguroAnual!_Saldo_Ciclico ) * ( _Stopper_Saldo_Inicial )</f>
        <v>179375.19858180705</v>
      </c>
      <c r="M23" s="96">
        <f ca="1">MIN( CHOOSE(Opcion.Abono, _Capital_Opcion_1, _Capital_Opcion_2, _Capital_Opcion_3) _Actual, _Saldo_Inicial _Actual)</f>
        <v>18989.863348334082</v>
      </c>
      <c r="N23" s="96">
        <f t="shared" ca="1" si="1"/>
        <v>64.276112825147521</v>
      </c>
      <c r="O23" s="97">
        <f>T_AutoYSeguroMulti!_Dias_Interes_Periodo</f>
        <v>30</v>
      </c>
      <c r="P23" s="97">
        <f t="shared" ca="1" si="2"/>
        <v>1928.2833847544257</v>
      </c>
      <c r="Q23" s="97">
        <f t="shared" ca="1" si="3"/>
        <v>231.39400617053107</v>
      </c>
      <c r="R23" s="97">
        <f ca="1">IF(TablaCliente!A23="","",IF(T_Merger!L23=0,0,ROUND(+T_Merger!M23+T_Merger!S23+T_Merger!P23+T_Merger!Q23,2)))</f>
        <v>21149.54</v>
      </c>
      <c r="S23" s="310">
        <f>TablaCliente!_CapturaAbonoAnticipadoTablaCliente</f>
        <v>0</v>
      </c>
      <c r="T23" s="97">
        <f t="shared" ca="1" si="4"/>
        <v>160385.33523347299</v>
      </c>
      <c r="V23" t="b">
        <f ca="1">_Saldo_Final _Anterior &gt; 0</f>
        <v>1</v>
      </c>
      <c r="W23" s="116"/>
      <c r="X23" s="97">
        <f ca="1" xml:space="preserve"> T_AutoYSeguroMulti!Pago.Fijo + T_SeguroAnual!_Pago_Fijo</f>
        <v>21149.540739259039</v>
      </c>
      <c r="Y23" s="97">
        <f ca="1" xml:space="preserve"> T_AutoYSeguroMulti!_Capital + T_SeguroAnual!_Capital</f>
        <v>18989.863348334082</v>
      </c>
      <c r="Z23" s="97">
        <f t="shared" ca="1" si="0"/>
        <v>18989.863348334082</v>
      </c>
      <c r="AA23" s="116"/>
      <c r="AB23" s="276">
        <v>0</v>
      </c>
      <c r="AC23"/>
      <c r="AD23" s="97">
        <v>0</v>
      </c>
      <c r="AE23" s="97">
        <v>0</v>
      </c>
      <c r="AF23" s="97"/>
      <c r="AG23" s="97">
        <f ca="1" xml:space="preserve"> T_SeguroAnual!_Abono_Sobrante</f>
        <v>0</v>
      </c>
      <c r="AH23" s="97">
        <f t="shared" si="5"/>
        <v>0</v>
      </c>
      <c r="AI23"/>
      <c r="AJ23" s="97">
        <f ca="1"/>
        <v>0</v>
      </c>
      <c r="AK23" s="97">
        <f ca="1"/>
        <v>0</v>
      </c>
      <c r="AN23" s="44" t="s">
        <v>119</v>
      </c>
      <c r="AO23" s="102" t="s">
        <v>132</v>
      </c>
    </row>
    <row r="24" spans="2:41">
      <c r="B24" s="102" t="s">
        <v>158</v>
      </c>
      <c r="C24" s="325" t="str">
        <f>'Configuración de Tablas'!K15</f>
        <v>T_AutoYSeguroMulti</v>
      </c>
      <c r="D24" s="117"/>
      <c r="E24" t="s">
        <v>159</v>
      </c>
      <c r="F24" t="str">
        <f>CONCATENATE(Nombre.Tabla.Estandar,"!",E24)</f>
        <v>T_AutoYSeguroMulti!_Dias_Interes_Periodo</v>
      </c>
      <c r="J24" s="14">
        <v>5</v>
      </c>
      <c r="L24" s="20">
        <f ca="1" xml:space="preserve"> ( _Saldo_Final _Anterior + T_SeguroAnual!_Saldo_Ciclico ) * ( _Stopper_Saldo_Inicial )</f>
        <v>160385.33523347299</v>
      </c>
      <c r="M24" s="96">
        <f ca="1">MIN( CHOOSE(Opcion.Abono, _Capital_Opcion_1, _Capital_Opcion_2, _Capital_Opcion_3) _Actual, _Saldo_Inicial _Actual)</f>
        <v>19218.501303048022</v>
      </c>
      <c r="N24" s="96">
        <f t="shared" ca="1" si="1"/>
        <v>57.471411791994484</v>
      </c>
      <c r="O24" s="97">
        <f>T_AutoYSeguroMulti!_Dias_Interes_Periodo</f>
        <v>30</v>
      </c>
      <c r="P24" s="97">
        <f t="shared" ca="1" si="2"/>
        <v>1724.1423537598346</v>
      </c>
      <c r="Q24" s="97">
        <f t="shared" ca="1" si="3"/>
        <v>206.89708245118015</v>
      </c>
      <c r="R24" s="97">
        <f ca="1">IF(TablaCliente!A24="","",IF(T_Merger!L24=0,0,ROUND(+T_Merger!M24+T_Merger!S24+T_Merger!P24+T_Merger!Q24,2)))</f>
        <v>21149.54</v>
      </c>
      <c r="S24" s="310">
        <f>TablaCliente!_CapturaAbonoAnticipadoTablaCliente</f>
        <v>0</v>
      </c>
      <c r="T24" s="97">
        <f t="shared" ca="1" si="4"/>
        <v>141166.83393042497</v>
      </c>
      <c r="V24" t="b">
        <f ca="1">_Saldo_Final _Anterior &gt; 0</f>
        <v>1</v>
      </c>
      <c r="W24" s="116"/>
      <c r="X24" s="97">
        <f ca="1" xml:space="preserve"> T_AutoYSeguroMulti!Pago.Fijo + T_SeguroAnual!_Pago_Fijo</f>
        <v>21149.540739259039</v>
      </c>
      <c r="Y24" s="97">
        <f ca="1" xml:space="preserve"> T_AutoYSeguroMulti!_Capital + T_SeguroAnual!_Capital</f>
        <v>19218.501303048022</v>
      </c>
      <c r="Z24" s="97">
        <f t="shared" ca="1" si="0"/>
        <v>19218.501303048022</v>
      </c>
      <c r="AA24" s="116"/>
      <c r="AB24" s="276">
        <v>0</v>
      </c>
      <c r="AC24"/>
      <c r="AD24" s="97">
        <v>0</v>
      </c>
      <c r="AE24" s="97">
        <v>0</v>
      </c>
      <c r="AF24" s="97"/>
      <c r="AG24" s="97">
        <f ca="1" xml:space="preserve"> T_SeguroAnual!_Abono_Sobrante</f>
        <v>0</v>
      </c>
      <c r="AH24" s="97">
        <f t="shared" si="5"/>
        <v>0</v>
      </c>
      <c r="AI24"/>
      <c r="AJ24" s="97">
        <f ca="1"/>
        <v>0</v>
      </c>
      <c r="AK24" s="97">
        <f ca="1"/>
        <v>0</v>
      </c>
      <c r="AN24" s="44" t="s">
        <v>117</v>
      </c>
      <c r="AO24" s="102" t="s">
        <v>186</v>
      </c>
    </row>
    <row r="25" spans="2:41">
      <c r="B25" s="102" t="s">
        <v>160</v>
      </c>
      <c r="C25" s="325" t="str">
        <f>'Configuración de Tablas'!K16</f>
        <v>T_SeguroAnual</v>
      </c>
      <c r="D25" s="117"/>
      <c r="E25" t="s">
        <v>1732</v>
      </c>
      <c r="F25" t="str">
        <f>CONCATENATE(Nombre.Tabla.Ciclica,"!",E25)</f>
        <v>T_SeguroAnual!_Saldo_Ciclico</v>
      </c>
      <c r="J25" s="14">
        <v>6</v>
      </c>
      <c r="L25" s="20">
        <f ca="1" xml:space="preserve"> ( _Saldo_Final _Anterior + T_SeguroAnual!_Saldo_Ciclico ) * ( _Stopper_Saldo_Inicial )</f>
        <v>141166.83393042497</v>
      </c>
      <c r="M25" s="96">
        <f ca="1">MIN( CHOOSE(Opcion.Abono, _Capital_Opcion_1, _Capital_Opcion_2, _Capital_Opcion_3) _Actual, _Saldo_Inicial _Actual)</f>
        <v>19449.892058736721</v>
      </c>
      <c r="N25" s="96">
        <f t="shared" ca="1" si="1"/>
        <v>50.584782158402277</v>
      </c>
      <c r="O25" s="97">
        <f>T_AutoYSeguroMulti!_Dias_Interes_Periodo</f>
        <v>30</v>
      </c>
      <c r="P25" s="97">
        <f t="shared" ca="1" si="2"/>
        <v>1517.5434647520683</v>
      </c>
      <c r="Q25" s="97">
        <f t="shared" ca="1" si="3"/>
        <v>182.10521577024818</v>
      </c>
      <c r="R25" s="97">
        <f ca="1">IF(TablaCliente!A25="","",IF(T_Merger!L25=0,0,ROUND(+T_Merger!M25+T_Merger!S25+T_Merger!P25+T_Merger!Q25,2)))</f>
        <v>21149.54</v>
      </c>
      <c r="S25" s="310">
        <f>TablaCliente!_CapturaAbonoAnticipadoTablaCliente</f>
        <v>0</v>
      </c>
      <c r="T25" s="97">
        <f t="shared" ca="1" si="4"/>
        <v>121716.94187168825</v>
      </c>
      <c r="V25" t="b">
        <f ca="1">_Saldo_Final _Anterior &gt; 0</f>
        <v>1</v>
      </c>
      <c r="W25" s="116"/>
      <c r="X25" s="97">
        <f ca="1" xml:space="preserve"> T_AutoYSeguroMulti!Pago.Fijo + T_SeguroAnual!_Pago_Fijo</f>
        <v>21149.540739259039</v>
      </c>
      <c r="Y25" s="97">
        <f ca="1" xml:space="preserve"> T_AutoYSeguroMulti!_Capital + T_SeguroAnual!_Capital</f>
        <v>19449.892058736721</v>
      </c>
      <c r="Z25" s="97">
        <f t="shared" ca="1" si="0"/>
        <v>19449.892058736721</v>
      </c>
      <c r="AA25" s="116"/>
      <c r="AB25" s="276">
        <v>0</v>
      </c>
      <c r="AC25"/>
      <c r="AD25" s="97">
        <v>0</v>
      </c>
      <c r="AE25" s="97">
        <v>0</v>
      </c>
      <c r="AF25" s="97"/>
      <c r="AG25" s="97">
        <f ca="1" xml:space="preserve"> T_SeguroAnual!_Abono_Sobrante</f>
        <v>0</v>
      </c>
      <c r="AH25" s="97">
        <f t="shared" si="5"/>
        <v>0</v>
      </c>
      <c r="AI25"/>
      <c r="AJ25" s="97">
        <f ca="1"/>
        <v>0</v>
      </c>
      <c r="AK25" s="97">
        <f ca="1"/>
        <v>0</v>
      </c>
      <c r="AN25" s="44"/>
      <c r="AO25" s="102"/>
    </row>
    <row r="26" spans="2:41">
      <c r="B26" s="102" t="s">
        <v>137</v>
      </c>
      <c r="C26" s="325" t="str">
        <f>'Configuración de Tablas'!K17</f>
        <v>TablaCliente!_CapturaAbonoAnticipadoTablaCliente</v>
      </c>
      <c r="D26" s="117"/>
      <c r="E26" t="s">
        <v>161</v>
      </c>
      <c r="F26" t="str">
        <f>CONCATENATE(Nombre.Tabla.Ciclica,"!",E26)</f>
        <v>T_SeguroAnual!_Pago_Fijo</v>
      </c>
      <c r="J26" s="14">
        <v>7</v>
      </c>
      <c r="L26" s="20">
        <f ca="1" xml:space="preserve"> ( _Saldo_Final _Anterior + T_SeguroAnual!_Saldo_Ciclico ) * ( _Stopper_Saldo_Inicial )</f>
        <v>121716.94187168825</v>
      </c>
      <c r="M26" s="96">
        <f ca="1">MIN( CHOOSE(Opcion.Abono, _Capital_Opcion_1, _Capital_Opcion_2, _Capital_Opcion_3) _Actual, _Saldo_Inicial _Actual)</f>
        <v>19684.068759123911</v>
      </c>
      <c r="N26" s="96">
        <f t="shared" ca="1" si="1"/>
        <v>43.615237504021621</v>
      </c>
      <c r="O26" s="97">
        <f>T_AutoYSeguroMulti!_Dias_Interes_Periodo</f>
        <v>30</v>
      </c>
      <c r="P26" s="97">
        <f t="shared" ca="1" si="2"/>
        <v>1308.4571251206487</v>
      </c>
      <c r="Q26" s="97">
        <f t="shared" ca="1" si="3"/>
        <v>157.01485501447783</v>
      </c>
      <c r="R26" s="97">
        <f ca="1">IF(TablaCliente!A26="","",IF(T_Merger!L26=0,0,ROUND(+T_Merger!M26+T_Merger!S26+T_Merger!P26+T_Merger!Q26,2)))</f>
        <v>21149.54</v>
      </c>
      <c r="S26" s="310">
        <f>TablaCliente!_CapturaAbonoAnticipadoTablaCliente</f>
        <v>0</v>
      </c>
      <c r="T26" s="97">
        <f t="shared" ca="1" si="4"/>
        <v>102032.87311256434</v>
      </c>
      <c r="V26" t="b">
        <f ca="1">_Saldo_Final _Anterior &gt; 0</f>
        <v>1</v>
      </c>
      <c r="W26" s="116"/>
      <c r="X26" s="97">
        <f ca="1" xml:space="preserve"> T_AutoYSeguroMulti!Pago.Fijo + T_SeguroAnual!_Pago_Fijo</f>
        <v>21149.540739259039</v>
      </c>
      <c r="Y26" s="97">
        <f ca="1" xml:space="preserve"> T_AutoYSeguroMulti!_Capital + T_SeguroAnual!_Capital</f>
        <v>19684.068759123911</v>
      </c>
      <c r="Z26" s="97">
        <f t="shared" ca="1" si="0"/>
        <v>19684.068759123911</v>
      </c>
      <c r="AA26" s="116"/>
      <c r="AB26" s="276">
        <v>0</v>
      </c>
      <c r="AC26"/>
      <c r="AD26" s="97">
        <v>0</v>
      </c>
      <c r="AE26" s="97">
        <v>0</v>
      </c>
      <c r="AF26" s="97"/>
      <c r="AG26" s="97">
        <f ca="1" xml:space="preserve"> T_SeguroAnual!_Abono_Sobrante</f>
        <v>0</v>
      </c>
      <c r="AH26" s="97">
        <f t="shared" si="5"/>
        <v>0</v>
      </c>
      <c r="AI26"/>
      <c r="AJ26" s="97">
        <f ca="1"/>
        <v>0</v>
      </c>
      <c r="AK26" s="97">
        <f ca="1"/>
        <v>0</v>
      </c>
      <c r="AN26" s="44"/>
      <c r="AO26" s="102"/>
    </row>
    <row r="27" spans="2:41">
      <c r="B27" s="290"/>
      <c r="C27" s="326"/>
      <c r="D27" s="117"/>
      <c r="E27" t="s">
        <v>157</v>
      </c>
      <c r="F27" t="str">
        <f>CONCATENATE(Nombre.Tabla.Ciclica,"!",E27)</f>
        <v>T_SeguroAnual!_Capital</v>
      </c>
      <c r="J27" s="14">
        <v>8</v>
      </c>
      <c r="L27" s="20">
        <f ca="1" xml:space="preserve"> ( _Saldo_Final _Anterior + T_SeguroAnual!_Saldo_Ciclico ) * ( _Stopper_Saldo_Inicial )</f>
        <v>102032.87311256434</v>
      </c>
      <c r="M27" s="96">
        <f ca="1">MIN( CHOOSE(Opcion.Abono, _Capital_Opcion_1, _Capital_Opcion_2, _Capital_Opcion_3) _Actual, _Saldo_Inicial _Actual)</f>
        <v>19921.064946983763</v>
      </c>
      <c r="N27" s="96">
        <f t="shared" ca="1" si="1"/>
        <v>36.56177953200222</v>
      </c>
      <c r="O27" s="97">
        <f>T_AutoYSeguroMulti!_Dias_Interes_Periodo</f>
        <v>30</v>
      </c>
      <c r="P27" s="97">
        <f t="shared" ca="1" si="2"/>
        <v>1096.8533859600666</v>
      </c>
      <c r="Q27" s="97">
        <f t="shared" ca="1" si="3"/>
        <v>131.622406315208</v>
      </c>
      <c r="R27" s="97">
        <f ca="1">IF(TablaCliente!A27="","",IF(T_Merger!L27=0,0,ROUND(+T_Merger!M27+T_Merger!S27+T_Merger!P27+T_Merger!Q27,2)))</f>
        <v>21149.54</v>
      </c>
      <c r="S27" s="310">
        <f>TablaCliente!_CapturaAbonoAnticipadoTablaCliente</f>
        <v>0</v>
      </c>
      <c r="T27" s="97">
        <f t="shared" ca="1" si="4"/>
        <v>82111.808165580573</v>
      </c>
      <c r="V27" t="b">
        <f ca="1">_Saldo_Final _Anterior &gt; 0</f>
        <v>1</v>
      </c>
      <c r="W27" s="116"/>
      <c r="X27" s="97">
        <f ca="1" xml:space="preserve"> T_AutoYSeguroMulti!Pago.Fijo + T_SeguroAnual!_Pago_Fijo</f>
        <v>21149.540739259039</v>
      </c>
      <c r="Y27" s="97">
        <f ca="1" xml:space="preserve"> T_AutoYSeguroMulti!_Capital + T_SeguroAnual!_Capital</f>
        <v>19921.064946983763</v>
      </c>
      <c r="Z27" s="97">
        <f t="shared" ca="1" si="0"/>
        <v>19921.064946983763</v>
      </c>
      <c r="AA27" s="116"/>
      <c r="AB27" s="276">
        <v>0</v>
      </c>
      <c r="AC27"/>
      <c r="AD27" s="97">
        <v>0</v>
      </c>
      <c r="AE27" s="97">
        <v>0</v>
      </c>
      <c r="AF27" s="97"/>
      <c r="AG27" s="97">
        <f ca="1" xml:space="preserve"> T_SeguroAnual!_Abono_Sobrante</f>
        <v>0</v>
      </c>
      <c r="AH27" s="97">
        <f t="shared" si="5"/>
        <v>0</v>
      </c>
      <c r="AI27"/>
      <c r="AJ27" s="97">
        <f ca="1"/>
        <v>0</v>
      </c>
      <c r="AK27" s="97">
        <f ca="1"/>
        <v>0</v>
      </c>
      <c r="AN27" s="44"/>
      <c r="AO27" s="102"/>
    </row>
    <row r="28" spans="2:41">
      <c r="B28" s="290"/>
      <c r="C28" s="326"/>
      <c r="D28" s="117"/>
      <c r="E28" t="s">
        <v>1733</v>
      </c>
      <c r="F28" t="str">
        <f>CONCATENATE(Nombre.Tabla.Ciclica,"!",E28)</f>
        <v>T_SeguroAnual!_Abono_Sobrante</v>
      </c>
      <c r="J28" s="14">
        <v>9</v>
      </c>
      <c r="L28" s="20">
        <f ca="1" xml:space="preserve"> ( _Saldo_Final _Anterior + T_SeguroAnual!_Saldo_Ciclico ) * ( _Stopper_Saldo_Inicial )</f>
        <v>82111.808165580573</v>
      </c>
      <c r="M28" s="96">
        <f ca="1">MIN( CHOOSE(Opcion.Abono, _Capital_Opcion_1, _Capital_Opcion_2, _Capital_Opcion_3) _Actual, _Saldo_Inicial _Actual)</f>
        <v>20160.914568945449</v>
      </c>
      <c r="N28" s="96">
        <f t="shared" ca="1" si="1"/>
        <v>29.423397925999705</v>
      </c>
      <c r="O28" s="97">
        <f>T_AutoYSeguroMulti!_Dias_Interes_Periodo</f>
        <v>30</v>
      </c>
      <c r="P28" s="97">
        <f t="shared" ca="1" si="2"/>
        <v>882.70193777999111</v>
      </c>
      <c r="Q28" s="97">
        <f t="shared" ca="1" si="3"/>
        <v>105.92423253359892</v>
      </c>
      <c r="R28" s="97">
        <f ca="1">IF(TablaCliente!A28="","",IF(T_Merger!L28=0,0,ROUND(+T_Merger!M28+T_Merger!S28+T_Merger!P28+T_Merger!Q28,2)))</f>
        <v>21149.54</v>
      </c>
      <c r="S28" s="310">
        <f>TablaCliente!_CapturaAbonoAnticipadoTablaCliente</f>
        <v>0</v>
      </c>
      <c r="T28" s="97">
        <f t="shared" ca="1" si="4"/>
        <v>61950.893596635127</v>
      </c>
      <c r="V28" t="b">
        <f ca="1">_Saldo_Final _Anterior &gt; 0</f>
        <v>1</v>
      </c>
      <c r="W28" s="116"/>
      <c r="X28" s="97">
        <f ca="1" xml:space="preserve"> T_AutoYSeguroMulti!Pago.Fijo + T_SeguroAnual!_Pago_Fijo</f>
        <v>21149.540739259039</v>
      </c>
      <c r="Y28" s="97">
        <f ca="1" xml:space="preserve"> T_AutoYSeguroMulti!_Capital + T_SeguroAnual!_Capital</f>
        <v>20160.914568945449</v>
      </c>
      <c r="Z28" s="97">
        <f t="shared" ca="1" si="0"/>
        <v>20160.914568945449</v>
      </c>
      <c r="AA28" s="116"/>
      <c r="AB28" s="276">
        <v>0</v>
      </c>
      <c r="AC28"/>
      <c r="AD28" s="97">
        <v>0</v>
      </c>
      <c r="AE28" s="97">
        <v>0</v>
      </c>
      <c r="AF28" s="97"/>
      <c r="AG28" s="97">
        <f ca="1" xml:space="preserve"> T_SeguroAnual!_Abono_Sobrante</f>
        <v>0</v>
      </c>
      <c r="AH28" s="97">
        <f t="shared" si="5"/>
        <v>0</v>
      </c>
      <c r="AI28"/>
      <c r="AJ28" s="97">
        <f ca="1"/>
        <v>0</v>
      </c>
      <c r="AK28" s="97">
        <f ca="1"/>
        <v>0</v>
      </c>
      <c r="AN28" s="44"/>
      <c r="AO28" s="102"/>
    </row>
    <row r="29" spans="2:41">
      <c r="B29" s="290"/>
      <c r="C29" s="326"/>
      <c r="D29" s="117"/>
      <c r="J29" s="14">
        <v>10</v>
      </c>
      <c r="L29" s="20">
        <f ca="1" xml:space="preserve"> ( _Saldo_Final _Anterior + T_SeguroAnual!_Saldo_Ciclico ) * ( _Stopper_Saldo_Inicial )</f>
        <v>61950.893596635127</v>
      </c>
      <c r="M29" s="96">
        <f ca="1">MIN( CHOOSE(Opcion.Abono, _Capital_Opcion_1, _Capital_Opcion_2, _Capital_Opcion_3) _Actual, _Saldo_Inicial _Actual)</f>
        <v>20403.651980355553</v>
      </c>
      <c r="N29" s="96">
        <f t="shared" ca="1" si="1"/>
        <v>22.19907020546092</v>
      </c>
      <c r="O29" s="97">
        <f>T_AutoYSeguroMulti!_Dias_Interes_Periodo</f>
        <v>30</v>
      </c>
      <c r="P29" s="97">
        <f t="shared" ca="1" si="2"/>
        <v>665.97210616382756</v>
      </c>
      <c r="Q29" s="97">
        <f t="shared" ca="1" si="3"/>
        <v>79.916652739659298</v>
      </c>
      <c r="R29" s="97">
        <f ca="1">IF(TablaCliente!A29="","",IF(T_Merger!L29=0,0,ROUND(+T_Merger!M29+T_Merger!S29+T_Merger!P29+T_Merger!Q29,2)))</f>
        <v>21149.54</v>
      </c>
      <c r="S29" s="310">
        <f>TablaCliente!_CapturaAbonoAnticipadoTablaCliente</f>
        <v>0</v>
      </c>
      <c r="T29" s="97">
        <f t="shared" ca="1" si="4"/>
        <v>41547.241616279571</v>
      </c>
      <c r="V29" t="b">
        <f ca="1">_Saldo_Final _Anterior &gt; 0</f>
        <v>1</v>
      </c>
      <c r="W29" s="116"/>
      <c r="X29" s="97">
        <f ca="1" xml:space="preserve"> T_AutoYSeguroMulti!Pago.Fijo + T_SeguroAnual!_Pago_Fijo</f>
        <v>21149.540739259039</v>
      </c>
      <c r="Y29" s="97">
        <f ca="1" xml:space="preserve"> T_AutoYSeguroMulti!_Capital + T_SeguroAnual!_Capital</f>
        <v>20403.651980355553</v>
      </c>
      <c r="Z29" s="97">
        <f t="shared" ca="1" si="0"/>
        <v>20403.651980355553</v>
      </c>
      <c r="AA29" s="116"/>
      <c r="AB29" s="276">
        <v>0</v>
      </c>
      <c r="AC29"/>
      <c r="AD29" s="97">
        <v>0</v>
      </c>
      <c r="AE29" s="97">
        <v>0</v>
      </c>
      <c r="AF29" s="97"/>
      <c r="AG29" s="97">
        <f ca="1" xml:space="preserve"> T_SeguroAnual!_Abono_Sobrante</f>
        <v>0</v>
      </c>
      <c r="AH29" s="97">
        <f t="shared" si="5"/>
        <v>0</v>
      </c>
      <c r="AI29"/>
      <c r="AJ29" s="97">
        <f ca="1"/>
        <v>0</v>
      </c>
      <c r="AK29" s="97">
        <f ca="1"/>
        <v>0</v>
      </c>
      <c r="AN29" s="44"/>
      <c r="AO29" s="102"/>
    </row>
    <row r="30" spans="2:41">
      <c r="B30" s="290"/>
      <c r="C30" s="298"/>
      <c r="D30" s="117"/>
      <c r="E30" s="322" t="s">
        <v>162</v>
      </c>
      <c r="F30" s="337">
        <f ca="1">MIN( MATCH(0, _Saldo_Final,0), Numero.pagos )</f>
        <v>12</v>
      </c>
      <c r="J30" s="14">
        <v>11</v>
      </c>
      <c r="L30" s="20">
        <f ca="1" xml:space="preserve"> ( _Saldo_Final _Anterior + T_SeguroAnual!_Saldo_Ciclico ) * ( _Stopper_Saldo_Inicial )</f>
        <v>41547.241616279571</v>
      </c>
      <c r="M30" s="96">
        <f ca="1">MIN( CHOOSE(Opcion.Abono, _Capital_Opcion_1, _Capital_Opcion_2, _Capital_Opcion_3) _Actual, _Saldo_Inicial _Actual)</f>
        <v>20649.311950199033</v>
      </c>
      <c r="N30" s="96">
        <f t="shared" ca="1" si="1"/>
        <v>14.887761579166845</v>
      </c>
      <c r="O30" s="97">
        <f>T_AutoYSeguroMulti!_Dias_Interes_Periodo</f>
        <v>30</v>
      </c>
      <c r="P30" s="97">
        <f t="shared" ca="1" si="2"/>
        <v>446.63284737500538</v>
      </c>
      <c r="Q30" s="97">
        <f t="shared" ca="1" si="3"/>
        <v>53.595941685000646</v>
      </c>
      <c r="R30" s="97">
        <f ca="1">IF(TablaCliente!A30="","",IF(T_Merger!L30=0,0,ROUND(+T_Merger!M30+T_Merger!S30+T_Merger!P30+T_Merger!Q30,2)))</f>
        <v>21149.54</v>
      </c>
      <c r="S30" s="310">
        <f>TablaCliente!_CapturaAbonoAnticipadoTablaCliente</f>
        <v>0</v>
      </c>
      <c r="T30" s="97">
        <f t="shared" ca="1" si="4"/>
        <v>20897.929666080538</v>
      </c>
      <c r="V30" t="b">
        <f ca="1">_Saldo_Final _Anterior &gt; 0</f>
        <v>1</v>
      </c>
      <c r="W30" s="116"/>
      <c r="X30" s="97">
        <f ca="1" xml:space="preserve"> T_AutoYSeguroMulti!Pago.Fijo + T_SeguroAnual!_Pago_Fijo</f>
        <v>21149.540739259039</v>
      </c>
      <c r="Y30" s="97">
        <f ca="1" xml:space="preserve"> T_AutoYSeguroMulti!_Capital + T_SeguroAnual!_Capital</f>
        <v>20649.311950199033</v>
      </c>
      <c r="Z30" s="97">
        <f t="shared" ca="1" si="0"/>
        <v>20649.311950199033</v>
      </c>
      <c r="AA30" s="116"/>
      <c r="AB30" s="276">
        <v>0</v>
      </c>
      <c r="AC30"/>
      <c r="AD30" s="97">
        <v>0</v>
      </c>
      <c r="AE30" s="97">
        <v>0</v>
      </c>
      <c r="AF30" s="97"/>
      <c r="AG30" s="97">
        <f ca="1" xml:space="preserve"> T_SeguroAnual!_Abono_Sobrante</f>
        <v>0</v>
      </c>
      <c r="AH30" s="97">
        <f t="shared" si="5"/>
        <v>0</v>
      </c>
      <c r="AI30"/>
      <c r="AJ30" s="97">
        <f ca="1"/>
        <v>0</v>
      </c>
      <c r="AK30" s="97">
        <f ca="1"/>
        <v>0</v>
      </c>
      <c r="AN30" s="44"/>
      <c r="AO30" s="102"/>
    </row>
    <row r="31" spans="2:41">
      <c r="J31" s="14">
        <v>12</v>
      </c>
      <c r="L31" s="20">
        <f ca="1" xml:space="preserve"> ( _Saldo_Final _Anterior + T_SeguroAnual!_Saldo_Ciclico ) * ( _Stopper_Saldo_Inicial )</f>
        <v>20897.929666080538</v>
      </c>
      <c r="M31" s="96">
        <f ca="1">MIN( CHOOSE(Opcion.Abono, _Capital_Opcion_1, _Capital_Opcion_2, _Capital_Opcion_3) _Actual, _Saldo_Inicial _Actual)</f>
        <v>20897.929666080538</v>
      </c>
      <c r="N31" s="96">
        <f t="shared" ca="1" si="1"/>
        <v>7.4884247970121924</v>
      </c>
      <c r="O31" s="97">
        <f>T_AutoYSeguroMulti!_Dias_Interes_Periodo</f>
        <v>30</v>
      </c>
      <c r="P31" s="97">
        <f t="shared" ca="1" si="2"/>
        <v>224.65274391036579</v>
      </c>
      <c r="Q31" s="97">
        <f t="shared" ca="1" si="3"/>
        <v>26.958329269243894</v>
      </c>
      <c r="R31" s="97">
        <f ca="1">IF(TablaCliente!A31="","",IF(T_Merger!L31=0,0,ROUND(+T_Merger!M31+T_Merger!S31+T_Merger!P31+T_Merger!Q31,2)))</f>
        <v>21149.54</v>
      </c>
      <c r="S31" s="310">
        <f>TablaCliente!_CapturaAbonoAnticipadoTablaCliente</f>
        <v>0</v>
      </c>
      <c r="T31" s="97">
        <f t="shared" ca="1" si="4"/>
        <v>0</v>
      </c>
      <c r="V31" t="b">
        <f ca="1">_Saldo_Final _Anterior &gt; 0</f>
        <v>1</v>
      </c>
      <c r="W31" s="116"/>
      <c r="X31" s="97">
        <f ca="1" xml:space="preserve"> T_AutoYSeguroMulti!Pago.Fijo + T_SeguroAnual!_Pago_Fijo</f>
        <v>21149.540739259039</v>
      </c>
      <c r="Y31" s="97">
        <f ca="1" xml:space="preserve"> T_AutoYSeguroMulti!_Capital + T_SeguroAnual!_Capital</f>
        <v>20897.929666080538</v>
      </c>
      <c r="Z31" s="97">
        <f t="shared" ca="1" si="0"/>
        <v>20897.929666079428</v>
      </c>
      <c r="AA31" s="116"/>
      <c r="AB31" s="276">
        <v>0</v>
      </c>
      <c r="AC31"/>
      <c r="AD31" s="97">
        <v>0</v>
      </c>
      <c r="AE31" s="97">
        <v>0</v>
      </c>
      <c r="AF31" s="97"/>
      <c r="AG31" s="97">
        <f ca="1" xml:space="preserve"> T_SeguroAnual!_Abono_Sobrante</f>
        <v>0</v>
      </c>
      <c r="AH31" s="97">
        <f t="shared" si="5"/>
        <v>0</v>
      </c>
      <c r="AI31"/>
      <c r="AJ31" s="97">
        <f ca="1"/>
        <v>0</v>
      </c>
      <c r="AK31" s="97">
        <f ca="1"/>
        <v>0</v>
      </c>
      <c r="AN31" s="44"/>
      <c r="AO31" s="102"/>
    </row>
    <row r="32" spans="2:41">
      <c r="E32" s="297"/>
      <c r="F32" s="116"/>
      <c r="J32" s="14">
        <v>13</v>
      </c>
      <c r="L32" s="20">
        <f ca="1" xml:space="preserve"> ( _Saldo_Final _Anterior + T_SeguroAnual!_Saldo_Ciclico ) * ( _Stopper_Saldo_Inicial )</f>
        <v>0</v>
      </c>
      <c r="M32" s="96">
        <f ca="1">MIN( CHOOSE(Opcion.Abono, _Capital_Opcion_1, _Capital_Opcion_2, _Capital_Opcion_3) _Actual, _Saldo_Inicial _Actual)</f>
        <v>0</v>
      </c>
      <c r="N32" s="96">
        <f t="shared" ca="1" si="1"/>
        <v>0</v>
      </c>
      <c r="O32" s="97">
        <f>T_AutoYSeguroMulti!_Dias_Interes_Periodo</f>
        <v>30</v>
      </c>
      <c r="P32" s="97">
        <f t="shared" ca="1" si="2"/>
        <v>0</v>
      </c>
      <c r="Q32" s="97">
        <f t="shared" ca="1" si="3"/>
        <v>0</v>
      </c>
      <c r="R32" s="97">
        <f ca="1">IF(TablaCliente!A32="","",IF(T_Merger!L32=0,0,ROUND(+T_Merger!M32+T_Merger!S32+T_Merger!P32+T_Merger!Q32,2)))</f>
        <v>0</v>
      </c>
      <c r="S32" s="310">
        <f>TablaCliente!_CapturaAbonoAnticipadoTablaCliente</f>
        <v>0</v>
      </c>
      <c r="T32" s="97">
        <f t="shared" ca="1" si="4"/>
        <v>0</v>
      </c>
      <c r="V32" t="b">
        <f ca="1">_Saldo_Final _Anterior &gt; 0</f>
        <v>0</v>
      </c>
      <c r="W32" s="116"/>
      <c r="X32" s="97">
        <f ca="1" xml:space="preserve"> T_AutoYSeguroMulti!Pago.Fijo + T_SeguroAnual!_Pago_Fijo</f>
        <v>21149.540739259039</v>
      </c>
      <c r="Y32" s="97">
        <f ca="1" xml:space="preserve"> T_AutoYSeguroMulti!_Capital + T_SeguroAnual!_Capital</f>
        <v>0</v>
      </c>
      <c r="Z32" s="97">
        <f t="shared" ca="1" si="0"/>
        <v>21149.540739259039</v>
      </c>
      <c r="AA32" s="116"/>
      <c r="AB32" s="276">
        <v>0</v>
      </c>
      <c r="AC32"/>
      <c r="AD32" s="97">
        <v>0</v>
      </c>
      <c r="AE32" s="97">
        <v>0</v>
      </c>
      <c r="AF32" s="97"/>
      <c r="AG32" s="97">
        <f ca="1" xml:space="preserve"> T_SeguroAnual!_Abono_Sobrante</f>
        <v>0</v>
      </c>
      <c r="AH32" s="97">
        <f t="shared" si="5"/>
        <v>0</v>
      </c>
      <c r="AI32"/>
      <c r="AJ32" s="97">
        <f ca="1"/>
        <v>0</v>
      </c>
      <c r="AK32" s="97">
        <f ca="1"/>
        <v>0</v>
      </c>
      <c r="AN32" s="44"/>
      <c r="AO32" s="102"/>
    </row>
    <row r="33" spans="2:41">
      <c r="B33" s="67"/>
      <c r="C33" s="67"/>
      <c r="D33" s="68"/>
      <c r="E33" s="135" t="s">
        <v>97</v>
      </c>
      <c r="F33" s="67"/>
      <c r="J33" s="14">
        <v>14</v>
      </c>
      <c r="L33" s="20">
        <f ca="1" xml:space="preserve"> ( _Saldo_Final _Anterior + T_SeguroAnual!_Saldo_Ciclico ) * ( _Stopper_Saldo_Inicial )</f>
        <v>0</v>
      </c>
      <c r="M33" s="96">
        <f ca="1">MIN( CHOOSE(Opcion.Abono, _Capital_Opcion_1, _Capital_Opcion_2, _Capital_Opcion_3) _Actual, _Saldo_Inicial _Actual)</f>
        <v>0</v>
      </c>
      <c r="N33" s="96">
        <f t="shared" ca="1" si="1"/>
        <v>0</v>
      </c>
      <c r="O33" s="97">
        <f>T_AutoYSeguroMulti!_Dias_Interes_Periodo</f>
        <v>30</v>
      </c>
      <c r="P33" s="97">
        <f t="shared" ca="1" si="2"/>
        <v>0</v>
      </c>
      <c r="Q33" s="97">
        <f t="shared" ca="1" si="3"/>
        <v>0</v>
      </c>
      <c r="R33" s="97">
        <f ca="1">IF(TablaCliente!A33="","",IF(T_Merger!L33=0,0,ROUND(+T_Merger!M33+T_Merger!S33+T_Merger!P33+T_Merger!Q33,2)))</f>
        <v>0</v>
      </c>
      <c r="S33" s="310">
        <f>TablaCliente!_CapturaAbonoAnticipadoTablaCliente</f>
        <v>0</v>
      </c>
      <c r="T33" s="97">
        <f t="shared" ca="1" si="4"/>
        <v>0</v>
      </c>
      <c r="V33" t="b">
        <f ca="1">_Saldo_Final _Anterior &gt; 0</f>
        <v>0</v>
      </c>
      <c r="W33" s="116"/>
      <c r="X33" s="97">
        <f ca="1" xml:space="preserve"> T_AutoYSeguroMulti!Pago.Fijo + T_SeguroAnual!_Pago_Fijo</f>
        <v>21149.540739259039</v>
      </c>
      <c r="Y33" s="97">
        <f ca="1" xml:space="preserve"> T_AutoYSeguroMulti!_Capital + T_SeguroAnual!_Capital</f>
        <v>0</v>
      </c>
      <c r="Z33" s="97">
        <f t="shared" ca="1" si="0"/>
        <v>21149.540739259039</v>
      </c>
      <c r="AA33" s="116"/>
      <c r="AB33" s="276">
        <v>0</v>
      </c>
      <c r="AC33"/>
      <c r="AD33" s="97">
        <v>0</v>
      </c>
      <c r="AE33" s="97">
        <v>0</v>
      </c>
      <c r="AF33" s="97"/>
      <c r="AG33" s="97">
        <f ca="1" xml:space="preserve"> T_SeguroAnual!_Abono_Sobrante</f>
        <v>0</v>
      </c>
      <c r="AH33" s="97">
        <f t="shared" si="5"/>
        <v>0</v>
      </c>
      <c r="AI33"/>
      <c r="AJ33" s="97">
        <f ca="1"/>
        <v>0</v>
      </c>
      <c r="AK33" s="97">
        <f ca="1"/>
        <v>0</v>
      </c>
      <c r="AN33" s="44"/>
      <c r="AO33" s="102"/>
    </row>
    <row r="34" spans="2:41">
      <c r="E34" s="299"/>
      <c r="F34" s="46"/>
      <c r="J34" s="14">
        <v>15</v>
      </c>
      <c r="L34" s="20">
        <f ca="1" xml:space="preserve"> ( _Saldo_Final _Anterior + T_SeguroAnual!_Saldo_Ciclico ) * ( _Stopper_Saldo_Inicial )</f>
        <v>0</v>
      </c>
      <c r="M34" s="96">
        <f ca="1">MIN( CHOOSE(Opcion.Abono, _Capital_Opcion_1, _Capital_Opcion_2, _Capital_Opcion_3) _Actual, _Saldo_Inicial _Actual)</f>
        <v>0</v>
      </c>
      <c r="N34" s="96">
        <f t="shared" ca="1" si="1"/>
        <v>0</v>
      </c>
      <c r="O34" s="97">
        <f>T_AutoYSeguroMulti!_Dias_Interes_Periodo</f>
        <v>30</v>
      </c>
      <c r="P34" s="97">
        <f t="shared" ca="1" si="2"/>
        <v>0</v>
      </c>
      <c r="Q34" s="97">
        <f t="shared" ca="1" si="3"/>
        <v>0</v>
      </c>
      <c r="R34" s="97">
        <f ca="1">IF(TablaCliente!A34="","",IF(T_Merger!L34=0,0,ROUND(+T_Merger!M34+T_Merger!S34+T_Merger!P34+T_Merger!Q34,2)))</f>
        <v>0</v>
      </c>
      <c r="S34" s="310">
        <f>TablaCliente!_CapturaAbonoAnticipadoTablaCliente</f>
        <v>0</v>
      </c>
      <c r="T34" s="97">
        <f t="shared" ca="1" si="4"/>
        <v>0</v>
      </c>
      <c r="V34" t="b">
        <f ca="1">_Saldo_Final _Anterior &gt; 0</f>
        <v>0</v>
      </c>
      <c r="W34" s="116"/>
      <c r="X34" s="97">
        <f ca="1" xml:space="preserve"> T_AutoYSeguroMulti!Pago.Fijo + T_SeguroAnual!_Pago_Fijo</f>
        <v>21149.540739259039</v>
      </c>
      <c r="Y34" s="97">
        <f ca="1" xml:space="preserve"> T_AutoYSeguroMulti!_Capital + T_SeguroAnual!_Capital</f>
        <v>0</v>
      </c>
      <c r="Z34" s="97">
        <f t="shared" ca="1" si="0"/>
        <v>21149.540739259039</v>
      </c>
      <c r="AA34" s="116"/>
      <c r="AB34" s="276">
        <v>0</v>
      </c>
      <c r="AC34"/>
      <c r="AD34" s="97">
        <v>0</v>
      </c>
      <c r="AE34" s="97">
        <v>0</v>
      </c>
      <c r="AF34" s="97"/>
      <c r="AG34" s="97">
        <f ca="1" xml:space="preserve"> T_SeguroAnual!_Abono_Sobrante</f>
        <v>0</v>
      </c>
      <c r="AH34" s="97">
        <f t="shared" si="5"/>
        <v>0</v>
      </c>
      <c r="AI34"/>
      <c r="AJ34" s="97">
        <f ca="1"/>
        <v>0</v>
      </c>
      <c r="AK34" s="97">
        <f ca="1"/>
        <v>0</v>
      </c>
      <c r="AN34" s="44"/>
      <c r="AO34" s="102"/>
    </row>
    <row r="35" spans="2:41">
      <c r="C35" s="101" t="s">
        <v>163</v>
      </c>
      <c r="E35" s="111" t="s">
        <v>99</v>
      </c>
      <c r="F35" s="300" t="str">
        <f>Rango.Ciclico.Abono.Sobrante</f>
        <v>T_SeguroAnual!_Abono_Sobrante</v>
      </c>
      <c r="J35" s="14">
        <v>16</v>
      </c>
      <c r="L35" s="20">
        <f ca="1" xml:space="preserve"> ( _Saldo_Final _Anterior + T_SeguroAnual!_Saldo_Ciclico ) * ( _Stopper_Saldo_Inicial )</f>
        <v>0</v>
      </c>
      <c r="M35" s="96">
        <f ca="1">MIN( CHOOSE(Opcion.Abono, _Capital_Opcion_1, _Capital_Opcion_2, _Capital_Opcion_3) _Actual, _Saldo_Inicial _Actual)</f>
        <v>0</v>
      </c>
      <c r="N35" s="96">
        <f t="shared" ca="1" si="1"/>
        <v>0</v>
      </c>
      <c r="O35" s="97">
        <f>T_AutoYSeguroMulti!_Dias_Interes_Periodo</f>
        <v>30</v>
      </c>
      <c r="P35" s="97">
        <f t="shared" ca="1" si="2"/>
        <v>0</v>
      </c>
      <c r="Q35" s="97">
        <f t="shared" ca="1" si="3"/>
        <v>0</v>
      </c>
      <c r="R35" s="97">
        <f ca="1">IF(TablaCliente!A35="","",IF(T_Merger!L35=0,0,ROUND(+T_Merger!M35+T_Merger!S35+T_Merger!P35+T_Merger!Q35,2)))</f>
        <v>0</v>
      </c>
      <c r="S35" s="310">
        <f>TablaCliente!_CapturaAbonoAnticipadoTablaCliente</f>
        <v>0</v>
      </c>
      <c r="T35" s="97">
        <f t="shared" ca="1" si="4"/>
        <v>0</v>
      </c>
      <c r="V35" t="b">
        <f ca="1">_Saldo_Final _Anterior &gt; 0</f>
        <v>0</v>
      </c>
      <c r="W35" s="116"/>
      <c r="X35" s="97">
        <f ca="1" xml:space="preserve"> T_AutoYSeguroMulti!Pago.Fijo + T_SeguroAnual!_Pago_Fijo</f>
        <v>21149.540739259039</v>
      </c>
      <c r="Y35" s="97">
        <f ca="1" xml:space="preserve"> T_AutoYSeguroMulti!_Capital + T_SeguroAnual!_Capital</f>
        <v>0</v>
      </c>
      <c r="Z35" s="97">
        <f t="shared" ca="1" si="0"/>
        <v>21149.540739259039</v>
      </c>
      <c r="AA35" s="116"/>
      <c r="AB35" s="276">
        <v>0</v>
      </c>
      <c r="AC35"/>
      <c r="AD35" s="97">
        <v>0</v>
      </c>
      <c r="AE35" s="97">
        <v>0</v>
      </c>
      <c r="AF35" s="97"/>
      <c r="AG35" s="97">
        <f ca="1" xml:space="preserve"> T_SeguroAnual!_Abono_Sobrante</f>
        <v>0</v>
      </c>
      <c r="AH35" s="97">
        <f t="shared" si="5"/>
        <v>0</v>
      </c>
      <c r="AI35"/>
      <c r="AJ35" s="97">
        <f ca="1"/>
        <v>0</v>
      </c>
      <c r="AK35" s="97">
        <f ca="1"/>
        <v>0</v>
      </c>
      <c r="AN35" s="44"/>
      <c r="AO35" s="102"/>
    </row>
    <row r="36" spans="2:41">
      <c r="C36" s="101" t="s">
        <v>164</v>
      </c>
      <c r="E36" s="111" t="s">
        <v>99</v>
      </c>
      <c r="F36" s="300" t="str">
        <f>Rango.Ciclico.Capital</f>
        <v>T_SeguroAnual!_Capital</v>
      </c>
      <c r="J36" s="14">
        <v>17</v>
      </c>
      <c r="L36" s="20">
        <f ca="1" xml:space="preserve"> ( _Saldo_Final _Anterior + T_SeguroAnual!_Saldo_Ciclico ) * ( _Stopper_Saldo_Inicial )</f>
        <v>0</v>
      </c>
      <c r="M36" s="96">
        <f ca="1">MIN( CHOOSE(Opcion.Abono, _Capital_Opcion_1, _Capital_Opcion_2, _Capital_Opcion_3) _Actual, _Saldo_Inicial _Actual)</f>
        <v>0</v>
      </c>
      <c r="N36" s="96">
        <f t="shared" ca="1" si="1"/>
        <v>0</v>
      </c>
      <c r="O36" s="97">
        <f>T_AutoYSeguroMulti!_Dias_Interes_Periodo</f>
        <v>30</v>
      </c>
      <c r="P36" s="97">
        <f t="shared" ca="1" si="2"/>
        <v>0</v>
      </c>
      <c r="Q36" s="97">
        <f t="shared" ca="1" si="3"/>
        <v>0</v>
      </c>
      <c r="R36" s="97">
        <f ca="1">IF(TablaCliente!A36="","",IF(T_Merger!L36=0,0,ROUND(+T_Merger!M36+T_Merger!S36+T_Merger!P36+T_Merger!Q36,2)))</f>
        <v>0</v>
      </c>
      <c r="S36" s="310">
        <f>TablaCliente!_CapturaAbonoAnticipadoTablaCliente</f>
        <v>0</v>
      </c>
      <c r="T36" s="97">
        <f t="shared" ca="1" si="4"/>
        <v>0</v>
      </c>
      <c r="V36" t="b">
        <f ca="1">_Saldo_Final _Anterior &gt; 0</f>
        <v>0</v>
      </c>
      <c r="W36" s="116"/>
      <c r="X36" s="97">
        <f ca="1" xml:space="preserve"> T_AutoYSeguroMulti!Pago.Fijo + T_SeguroAnual!_Pago_Fijo</f>
        <v>21149.540739259039</v>
      </c>
      <c r="Y36" s="97">
        <f ca="1" xml:space="preserve"> T_AutoYSeguroMulti!_Capital + T_SeguroAnual!_Capital</f>
        <v>0</v>
      </c>
      <c r="Z36" s="97">
        <f t="shared" ca="1" si="0"/>
        <v>21149.540739259039</v>
      </c>
      <c r="AA36" s="116"/>
      <c r="AB36" s="276">
        <v>0</v>
      </c>
      <c r="AC36"/>
      <c r="AD36" s="97">
        <v>0</v>
      </c>
      <c r="AE36" s="97">
        <v>0</v>
      </c>
      <c r="AF36" s="97"/>
      <c r="AG36" s="97">
        <f ca="1" xml:space="preserve"> T_SeguroAnual!_Abono_Sobrante</f>
        <v>0</v>
      </c>
      <c r="AH36" s="97">
        <f t="shared" si="5"/>
        <v>0</v>
      </c>
      <c r="AI36"/>
      <c r="AJ36" s="97">
        <f ca="1"/>
        <v>0</v>
      </c>
      <c r="AK36" s="97">
        <f ca="1"/>
        <v>0</v>
      </c>
      <c r="AN36" s="44"/>
      <c r="AO36" s="102"/>
    </row>
    <row r="37" spans="2:41">
      <c r="B37" s="32"/>
      <c r="C37" s="101" t="s">
        <v>165</v>
      </c>
      <c r="E37" s="111" t="s">
        <v>99</v>
      </c>
      <c r="F37" s="300" t="str">
        <f>Rango.Ciclico.Pago</f>
        <v>T_SeguroAnual!_Pago_Fijo</v>
      </c>
      <c r="J37" s="14">
        <v>18</v>
      </c>
      <c r="L37" s="20">
        <f ca="1" xml:space="preserve"> ( _Saldo_Final _Anterior + T_SeguroAnual!_Saldo_Ciclico ) * ( _Stopper_Saldo_Inicial )</f>
        <v>0</v>
      </c>
      <c r="M37" s="96">
        <f ca="1">MIN( CHOOSE(Opcion.Abono, _Capital_Opcion_1, _Capital_Opcion_2, _Capital_Opcion_3) _Actual, _Saldo_Inicial _Actual)</f>
        <v>0</v>
      </c>
      <c r="N37" s="96">
        <f t="shared" ca="1" si="1"/>
        <v>0</v>
      </c>
      <c r="O37" s="97">
        <f>T_AutoYSeguroMulti!_Dias_Interes_Periodo</f>
        <v>30</v>
      </c>
      <c r="P37" s="97">
        <f t="shared" ca="1" si="2"/>
        <v>0</v>
      </c>
      <c r="Q37" s="97">
        <f t="shared" ca="1" si="3"/>
        <v>0</v>
      </c>
      <c r="R37" s="97">
        <f ca="1">IF(TablaCliente!A37="","",IF(T_Merger!L37=0,0,ROUND(+T_Merger!M37+T_Merger!S37+T_Merger!P37+T_Merger!Q37,2)))</f>
        <v>0</v>
      </c>
      <c r="S37" s="310">
        <f>TablaCliente!_CapturaAbonoAnticipadoTablaCliente</f>
        <v>0</v>
      </c>
      <c r="T37" s="97">
        <f t="shared" ca="1" si="4"/>
        <v>0</v>
      </c>
      <c r="V37" t="b">
        <f ca="1">_Saldo_Final _Anterior &gt; 0</f>
        <v>0</v>
      </c>
      <c r="W37" s="116"/>
      <c r="X37" s="97">
        <f ca="1" xml:space="preserve"> T_AutoYSeguroMulti!Pago.Fijo + T_SeguroAnual!_Pago_Fijo</f>
        <v>21149.540739259039</v>
      </c>
      <c r="Y37" s="97">
        <f ca="1" xml:space="preserve"> T_AutoYSeguroMulti!_Capital + T_SeguroAnual!_Capital</f>
        <v>0</v>
      </c>
      <c r="Z37" s="97">
        <f t="shared" ca="1" si="0"/>
        <v>21149.540739259039</v>
      </c>
      <c r="AA37" s="116"/>
      <c r="AB37" s="276">
        <v>0</v>
      </c>
      <c r="AC37"/>
      <c r="AD37" s="97">
        <v>0</v>
      </c>
      <c r="AE37" s="97">
        <v>0</v>
      </c>
      <c r="AF37" s="97"/>
      <c r="AG37" s="97">
        <f ca="1" xml:space="preserve"> T_SeguroAnual!_Abono_Sobrante</f>
        <v>0</v>
      </c>
      <c r="AH37" s="97">
        <f t="shared" si="5"/>
        <v>0</v>
      </c>
      <c r="AI37"/>
      <c r="AJ37" s="97">
        <f ca="1"/>
        <v>0</v>
      </c>
      <c r="AK37" s="97">
        <f ca="1"/>
        <v>0</v>
      </c>
      <c r="AN37" s="44"/>
      <c r="AO37" s="102"/>
    </row>
    <row r="38" spans="2:41">
      <c r="B38" s="32"/>
      <c r="C38" s="101" t="s">
        <v>166</v>
      </c>
      <c r="E38" s="111" t="s">
        <v>99</v>
      </c>
      <c r="F38" s="300" t="str">
        <f>Rango.Ciclico.Saldo</f>
        <v>T_SeguroAnual!_Saldo_Ciclico</v>
      </c>
      <c r="J38" s="14">
        <v>19</v>
      </c>
      <c r="L38" s="20">
        <f ca="1" xml:space="preserve"> ( _Saldo_Final _Anterior + T_SeguroAnual!_Saldo_Ciclico ) * ( _Stopper_Saldo_Inicial )</f>
        <v>0</v>
      </c>
      <c r="M38" s="96">
        <f ca="1">MIN( CHOOSE(Opcion.Abono, _Capital_Opcion_1, _Capital_Opcion_2, _Capital_Opcion_3) _Actual, _Saldo_Inicial _Actual)</f>
        <v>0</v>
      </c>
      <c r="N38" s="96">
        <f t="shared" ca="1" si="1"/>
        <v>0</v>
      </c>
      <c r="O38" s="97">
        <f>T_AutoYSeguroMulti!_Dias_Interes_Periodo</f>
        <v>30</v>
      </c>
      <c r="P38" s="97">
        <f t="shared" ca="1" si="2"/>
        <v>0</v>
      </c>
      <c r="Q38" s="97">
        <f t="shared" ca="1" si="3"/>
        <v>0</v>
      </c>
      <c r="R38" s="97">
        <f ca="1">IF(TablaCliente!A38="","",IF(T_Merger!L38=0,0,ROUND(+T_Merger!M38+T_Merger!S38+T_Merger!P38+T_Merger!Q38,2)))</f>
        <v>0</v>
      </c>
      <c r="S38" s="310">
        <f>TablaCliente!_CapturaAbonoAnticipadoTablaCliente</f>
        <v>0</v>
      </c>
      <c r="T38" s="97">
        <f t="shared" ca="1" si="4"/>
        <v>0</v>
      </c>
      <c r="V38" t="b">
        <f ca="1">_Saldo_Final _Anterior &gt; 0</f>
        <v>0</v>
      </c>
      <c r="W38" s="116"/>
      <c r="X38" s="97">
        <f ca="1" xml:space="preserve"> T_AutoYSeguroMulti!Pago.Fijo + T_SeguroAnual!_Pago_Fijo</f>
        <v>21149.540739259039</v>
      </c>
      <c r="Y38" s="97">
        <f ca="1" xml:space="preserve"> T_AutoYSeguroMulti!_Capital + T_SeguroAnual!_Capital</f>
        <v>0</v>
      </c>
      <c r="Z38" s="97">
        <f t="shared" ca="1" si="0"/>
        <v>21149.540739259039</v>
      </c>
      <c r="AA38" s="116"/>
      <c r="AB38" s="276">
        <v>0</v>
      </c>
      <c r="AC38"/>
      <c r="AD38" s="97">
        <v>0</v>
      </c>
      <c r="AE38" s="97">
        <v>0</v>
      </c>
      <c r="AF38" s="97"/>
      <c r="AG38" s="97">
        <f ca="1" xml:space="preserve"> T_SeguroAnual!_Abono_Sobrante</f>
        <v>0</v>
      </c>
      <c r="AH38" s="97">
        <f t="shared" si="5"/>
        <v>0</v>
      </c>
      <c r="AI38"/>
      <c r="AJ38" s="97">
        <f ca="1"/>
        <v>0</v>
      </c>
      <c r="AK38" s="97">
        <f ca="1"/>
        <v>0</v>
      </c>
      <c r="AN38" s="44"/>
      <c r="AO38" s="102"/>
    </row>
    <row r="39" spans="2:41">
      <c r="B39" s="32"/>
      <c r="C39" s="101" t="s">
        <v>167</v>
      </c>
      <c r="E39" s="111" t="s">
        <v>99</v>
      </c>
      <c r="F39" s="300" t="str">
        <f>Rango.Estandar.Capital</f>
        <v>T_AutoYSeguroMulti!_Capital</v>
      </c>
      <c r="J39" s="14">
        <v>20</v>
      </c>
      <c r="L39" s="20">
        <f ca="1" xml:space="preserve"> ( _Saldo_Final _Anterior + T_SeguroAnual!_Saldo_Ciclico ) * ( _Stopper_Saldo_Inicial )</f>
        <v>0</v>
      </c>
      <c r="M39" s="96">
        <f ca="1">MIN( CHOOSE(Opcion.Abono, _Capital_Opcion_1, _Capital_Opcion_2, _Capital_Opcion_3) _Actual, _Saldo_Inicial _Actual)</f>
        <v>0</v>
      </c>
      <c r="N39" s="96">
        <f t="shared" ca="1" si="1"/>
        <v>0</v>
      </c>
      <c r="O39" s="97">
        <f>T_AutoYSeguroMulti!_Dias_Interes_Periodo</f>
        <v>30</v>
      </c>
      <c r="P39" s="97">
        <f t="shared" ca="1" si="2"/>
        <v>0</v>
      </c>
      <c r="Q39" s="97">
        <f t="shared" ca="1" si="3"/>
        <v>0</v>
      </c>
      <c r="R39" s="97">
        <f ca="1">IF(TablaCliente!A39="","",IF(T_Merger!L39=0,0,ROUND(+T_Merger!M39+T_Merger!S39+T_Merger!P39+T_Merger!Q39,2)))</f>
        <v>0</v>
      </c>
      <c r="S39" s="310">
        <f>TablaCliente!_CapturaAbonoAnticipadoTablaCliente</f>
        <v>0</v>
      </c>
      <c r="T39" s="97">
        <f t="shared" ca="1" si="4"/>
        <v>0</v>
      </c>
      <c r="V39" t="b">
        <f ca="1">_Saldo_Final _Anterior &gt; 0</f>
        <v>0</v>
      </c>
      <c r="W39" s="116"/>
      <c r="X39" s="97">
        <f ca="1" xml:space="preserve"> T_AutoYSeguroMulti!Pago.Fijo + T_SeguroAnual!_Pago_Fijo</f>
        <v>21149.540739259039</v>
      </c>
      <c r="Y39" s="97">
        <f ca="1" xml:space="preserve"> T_AutoYSeguroMulti!_Capital + T_SeguroAnual!_Capital</f>
        <v>0</v>
      </c>
      <c r="Z39" s="97">
        <f t="shared" ca="1" si="0"/>
        <v>21149.540739259039</v>
      </c>
      <c r="AA39" s="116"/>
      <c r="AB39" s="276">
        <v>0</v>
      </c>
      <c r="AC39"/>
      <c r="AD39" s="97">
        <v>0</v>
      </c>
      <c r="AE39" s="97">
        <v>0</v>
      </c>
      <c r="AF39" s="97"/>
      <c r="AG39" s="97">
        <f ca="1" xml:space="preserve"> T_SeguroAnual!_Abono_Sobrante</f>
        <v>0</v>
      </c>
      <c r="AH39" s="97">
        <f t="shared" si="5"/>
        <v>0</v>
      </c>
      <c r="AI39"/>
      <c r="AJ39" s="97">
        <f ca="1"/>
        <v>0</v>
      </c>
      <c r="AK39" s="97">
        <f ca="1"/>
        <v>0</v>
      </c>
      <c r="AN39" s="44"/>
      <c r="AO39" s="102"/>
    </row>
    <row r="40" spans="2:41">
      <c r="B40" s="32"/>
      <c r="C40" s="101" t="s">
        <v>168</v>
      </c>
      <c r="E40" s="111" t="s">
        <v>99</v>
      </c>
      <c r="F40" s="300" t="str">
        <f>Rango.Estandar.Pago</f>
        <v>T_AutoYSeguroMulti!Pago.Fijo</v>
      </c>
      <c r="J40" s="14">
        <v>21</v>
      </c>
      <c r="L40" s="20">
        <f ca="1" xml:space="preserve"> ( _Saldo_Final _Anterior + T_SeguroAnual!_Saldo_Ciclico ) * ( _Stopper_Saldo_Inicial )</f>
        <v>0</v>
      </c>
      <c r="M40" s="96">
        <f ca="1">MIN( CHOOSE(Opcion.Abono, _Capital_Opcion_1, _Capital_Opcion_2, _Capital_Opcion_3) _Actual, _Saldo_Inicial _Actual)</f>
        <v>0</v>
      </c>
      <c r="N40" s="96">
        <f t="shared" ca="1" si="1"/>
        <v>0</v>
      </c>
      <c r="O40" s="97">
        <f>T_AutoYSeguroMulti!_Dias_Interes_Periodo</f>
        <v>30</v>
      </c>
      <c r="P40" s="97">
        <f t="shared" ca="1" si="2"/>
        <v>0</v>
      </c>
      <c r="Q40" s="97">
        <f t="shared" ca="1" si="3"/>
        <v>0</v>
      </c>
      <c r="R40" s="97">
        <f ca="1">IF(TablaCliente!A40="","",IF(T_Merger!L40=0,0,ROUND(+T_Merger!M40+T_Merger!S40+T_Merger!P40+T_Merger!Q40,2)))</f>
        <v>0</v>
      </c>
      <c r="S40" s="310">
        <f>TablaCliente!_CapturaAbonoAnticipadoTablaCliente</f>
        <v>0</v>
      </c>
      <c r="T40" s="97">
        <f t="shared" ca="1" si="4"/>
        <v>0</v>
      </c>
      <c r="V40" t="b">
        <f ca="1">_Saldo_Final _Anterior &gt; 0</f>
        <v>0</v>
      </c>
      <c r="W40" s="116"/>
      <c r="X40" s="97">
        <f ca="1" xml:space="preserve"> T_AutoYSeguroMulti!Pago.Fijo + T_SeguroAnual!_Pago_Fijo</f>
        <v>21149.540739259039</v>
      </c>
      <c r="Y40" s="97">
        <f ca="1" xml:space="preserve"> T_AutoYSeguroMulti!_Capital + T_SeguroAnual!_Capital</f>
        <v>0</v>
      </c>
      <c r="Z40" s="97">
        <f t="shared" ca="1" si="0"/>
        <v>21149.540739259039</v>
      </c>
      <c r="AA40" s="116"/>
      <c r="AB40" s="276">
        <v>0</v>
      </c>
      <c r="AC40"/>
      <c r="AD40" s="97">
        <v>0</v>
      </c>
      <c r="AE40" s="97">
        <v>0</v>
      </c>
      <c r="AF40" s="97"/>
      <c r="AG40" s="97">
        <f ca="1" xml:space="preserve"> T_SeguroAnual!_Abono_Sobrante</f>
        <v>0</v>
      </c>
      <c r="AH40" s="97">
        <f t="shared" si="5"/>
        <v>0</v>
      </c>
      <c r="AI40"/>
      <c r="AJ40" s="97">
        <f ca="1"/>
        <v>0</v>
      </c>
      <c r="AK40" s="97">
        <f ca="1"/>
        <v>0</v>
      </c>
      <c r="AN40" s="44"/>
      <c r="AO40" s="102"/>
    </row>
    <row r="41" spans="2:41">
      <c r="B41" s="32"/>
      <c r="C41" s="101" t="s">
        <v>169</v>
      </c>
      <c r="E41" s="111" t="s">
        <v>99</v>
      </c>
      <c r="F41" s="300" t="str">
        <f>Rango.Estandar.Saldo</f>
        <v>T_AutoYSeguroMulti!Monto.Financiar</v>
      </c>
      <c r="J41" s="14">
        <v>22</v>
      </c>
      <c r="L41" s="20">
        <f ca="1" xml:space="preserve"> ( _Saldo_Final _Anterior + T_SeguroAnual!_Saldo_Ciclico ) * ( _Stopper_Saldo_Inicial )</f>
        <v>0</v>
      </c>
      <c r="M41" s="96">
        <f ca="1">MIN( CHOOSE(Opcion.Abono, _Capital_Opcion_1, _Capital_Opcion_2, _Capital_Opcion_3) _Actual, _Saldo_Inicial _Actual)</f>
        <v>0</v>
      </c>
      <c r="N41" s="96">
        <f t="shared" ca="1" si="1"/>
        <v>0</v>
      </c>
      <c r="O41" s="97">
        <f>T_AutoYSeguroMulti!_Dias_Interes_Periodo</f>
        <v>30</v>
      </c>
      <c r="P41" s="97">
        <f t="shared" ca="1" si="2"/>
        <v>0</v>
      </c>
      <c r="Q41" s="97">
        <f t="shared" ca="1" si="3"/>
        <v>0</v>
      </c>
      <c r="R41" s="97">
        <f ca="1">IF(TablaCliente!A41="","",IF(T_Merger!L41=0,0,ROUND(+T_Merger!M41+T_Merger!S41+T_Merger!P41+T_Merger!Q41,2)))</f>
        <v>0</v>
      </c>
      <c r="S41" s="310">
        <f>TablaCliente!_CapturaAbonoAnticipadoTablaCliente</f>
        <v>0</v>
      </c>
      <c r="T41" s="97">
        <f t="shared" ca="1" si="4"/>
        <v>0</v>
      </c>
      <c r="V41" t="b">
        <f ca="1">_Saldo_Final _Anterior &gt; 0</f>
        <v>0</v>
      </c>
      <c r="W41" s="116"/>
      <c r="X41" s="97">
        <f ca="1" xml:space="preserve"> T_AutoYSeguroMulti!Pago.Fijo + T_SeguroAnual!_Pago_Fijo</f>
        <v>21149.540739259039</v>
      </c>
      <c r="Y41" s="97">
        <f ca="1" xml:space="preserve"> T_AutoYSeguroMulti!_Capital + T_SeguroAnual!_Capital</f>
        <v>0</v>
      </c>
      <c r="Z41" s="97">
        <f t="shared" ca="1" si="0"/>
        <v>21149.540739259039</v>
      </c>
      <c r="AA41" s="116"/>
      <c r="AB41" s="276">
        <v>0</v>
      </c>
      <c r="AC41"/>
      <c r="AD41" s="97">
        <v>0</v>
      </c>
      <c r="AE41" s="97">
        <v>0</v>
      </c>
      <c r="AF41" s="97"/>
      <c r="AG41" s="97">
        <f ca="1" xml:space="preserve"> T_SeguroAnual!_Abono_Sobrante</f>
        <v>0</v>
      </c>
      <c r="AH41" s="97">
        <f t="shared" si="5"/>
        <v>0</v>
      </c>
      <c r="AI41"/>
      <c r="AJ41" s="97">
        <f ca="1"/>
        <v>0</v>
      </c>
      <c r="AK41" s="97">
        <f ca="1"/>
        <v>0</v>
      </c>
      <c r="AN41" s="44"/>
      <c r="AO41" s="102"/>
    </row>
    <row r="42" spans="2:41">
      <c r="C42" s="101" t="s">
        <v>170</v>
      </c>
      <c r="E42" s="111" t="s">
        <v>99</v>
      </c>
      <c r="F42" s="300" t="str">
        <f>Rango.Estandar.Dias.Periodo</f>
        <v>T_AutoYSeguroMulti!_Dias_Interes_Periodo</v>
      </c>
      <c r="J42" s="14">
        <v>23</v>
      </c>
      <c r="L42" s="20">
        <f ca="1" xml:space="preserve"> ( _Saldo_Final _Anterior + T_SeguroAnual!_Saldo_Ciclico ) * ( _Stopper_Saldo_Inicial )</f>
        <v>0</v>
      </c>
      <c r="M42" s="96">
        <f ca="1">MIN( CHOOSE(Opcion.Abono, _Capital_Opcion_1, _Capital_Opcion_2, _Capital_Opcion_3) _Actual, _Saldo_Inicial _Actual)</f>
        <v>0</v>
      </c>
      <c r="N42" s="96">
        <f t="shared" ca="1" si="1"/>
        <v>0</v>
      </c>
      <c r="O42" s="97">
        <f>T_AutoYSeguroMulti!_Dias_Interes_Periodo</f>
        <v>30</v>
      </c>
      <c r="P42" s="97">
        <f t="shared" ca="1" si="2"/>
        <v>0</v>
      </c>
      <c r="Q42" s="97">
        <f t="shared" ca="1" si="3"/>
        <v>0</v>
      </c>
      <c r="R42" s="97">
        <f ca="1">IF(TablaCliente!A42="","",IF(T_Merger!L42=0,0,ROUND(+T_Merger!M42+T_Merger!S42+T_Merger!P42+T_Merger!Q42,2)))</f>
        <v>0</v>
      </c>
      <c r="S42" s="310">
        <f>TablaCliente!_CapturaAbonoAnticipadoTablaCliente</f>
        <v>0</v>
      </c>
      <c r="T42" s="97">
        <f t="shared" ca="1" si="4"/>
        <v>0</v>
      </c>
      <c r="V42" t="b">
        <f ca="1">_Saldo_Final _Anterior &gt; 0</f>
        <v>0</v>
      </c>
      <c r="W42" s="116"/>
      <c r="X42" s="97">
        <f ca="1" xml:space="preserve"> T_AutoYSeguroMulti!Pago.Fijo + T_SeguroAnual!_Pago_Fijo</f>
        <v>21149.540739259039</v>
      </c>
      <c r="Y42" s="97">
        <f ca="1" xml:space="preserve"> T_AutoYSeguroMulti!_Capital + T_SeguroAnual!_Capital</f>
        <v>0</v>
      </c>
      <c r="Z42" s="97">
        <f t="shared" ca="1" si="0"/>
        <v>21149.540739259039</v>
      </c>
      <c r="AA42" s="116"/>
      <c r="AB42" s="276">
        <v>0</v>
      </c>
      <c r="AC42"/>
      <c r="AD42" s="97">
        <v>0</v>
      </c>
      <c r="AE42" s="97">
        <v>0</v>
      </c>
      <c r="AF42" s="97"/>
      <c r="AG42" s="97">
        <f ca="1" xml:space="preserve"> T_SeguroAnual!_Abono_Sobrante</f>
        <v>0</v>
      </c>
      <c r="AH42" s="97">
        <f t="shared" si="5"/>
        <v>0</v>
      </c>
      <c r="AI42"/>
      <c r="AJ42" s="97">
        <f ca="1"/>
        <v>0</v>
      </c>
      <c r="AK42" s="97">
        <f ca="1"/>
        <v>0</v>
      </c>
      <c r="AN42" s="44"/>
      <c r="AO42" s="102"/>
    </row>
    <row r="43" spans="2:41">
      <c r="C43" s="101" t="s">
        <v>139</v>
      </c>
      <c r="E43" s="111" t="s">
        <v>99</v>
      </c>
      <c r="F43" s="300" t="str">
        <f>Rango.Abono.Anticipado</f>
        <v>TablaCliente!_CapturaAbonoAnticipadoTablaCliente</v>
      </c>
      <c r="J43" s="14">
        <v>24</v>
      </c>
      <c r="L43" s="20">
        <f ca="1" xml:space="preserve"> ( _Saldo_Final _Anterior + T_SeguroAnual!_Saldo_Ciclico ) * ( _Stopper_Saldo_Inicial )</f>
        <v>0</v>
      </c>
      <c r="M43" s="96">
        <f ca="1">MIN( CHOOSE(Opcion.Abono, _Capital_Opcion_1, _Capital_Opcion_2, _Capital_Opcion_3) _Actual, _Saldo_Inicial _Actual)</f>
        <v>0</v>
      </c>
      <c r="N43" s="96">
        <f t="shared" ca="1" si="1"/>
        <v>0</v>
      </c>
      <c r="O43" s="97">
        <f>T_AutoYSeguroMulti!_Dias_Interes_Periodo</f>
        <v>30</v>
      </c>
      <c r="P43" s="97">
        <f t="shared" ca="1" si="2"/>
        <v>0</v>
      </c>
      <c r="Q43" s="97">
        <f t="shared" ca="1" si="3"/>
        <v>0</v>
      </c>
      <c r="R43" s="97">
        <f ca="1">IF(TablaCliente!A43="","",IF(T_Merger!L43=0,0,ROUND(+T_Merger!M43+T_Merger!S43+T_Merger!P43+T_Merger!Q43,2)))</f>
        <v>0</v>
      </c>
      <c r="S43" s="310">
        <f>TablaCliente!_CapturaAbonoAnticipadoTablaCliente</f>
        <v>0</v>
      </c>
      <c r="T43" s="97">
        <f t="shared" ca="1" si="4"/>
        <v>0</v>
      </c>
      <c r="V43" t="b">
        <f ca="1">_Saldo_Final _Anterior &gt; 0</f>
        <v>0</v>
      </c>
      <c r="W43" s="116"/>
      <c r="X43" s="97">
        <f ca="1" xml:space="preserve"> T_AutoYSeguroMulti!Pago.Fijo + T_SeguroAnual!_Pago_Fijo</f>
        <v>21149.540739259039</v>
      </c>
      <c r="Y43" s="97">
        <f ca="1" xml:space="preserve"> T_AutoYSeguroMulti!_Capital + T_SeguroAnual!_Capital</f>
        <v>0</v>
      </c>
      <c r="Z43" s="97">
        <f t="shared" ca="1" si="0"/>
        <v>21149.540739259039</v>
      </c>
      <c r="AA43" s="116"/>
      <c r="AB43" s="276">
        <v>0</v>
      </c>
      <c r="AC43"/>
      <c r="AD43" s="97">
        <v>0</v>
      </c>
      <c r="AE43" s="97">
        <v>0</v>
      </c>
      <c r="AF43" s="97"/>
      <c r="AG43" s="97">
        <f ca="1" xml:space="preserve"> T_SeguroAnual!_Abono_Sobrante</f>
        <v>0</v>
      </c>
      <c r="AH43" s="97">
        <f t="shared" si="5"/>
        <v>0</v>
      </c>
      <c r="AI43"/>
      <c r="AJ43" s="97">
        <f ca="1"/>
        <v>0</v>
      </c>
      <c r="AK43" s="97">
        <f ca="1"/>
        <v>0</v>
      </c>
      <c r="AN43" s="44"/>
      <c r="AO43" s="102"/>
    </row>
    <row r="44" spans="2:41" s="116" customFormat="1">
      <c r="B44" s="32"/>
      <c r="C44" s="14"/>
      <c r="D44"/>
      <c r="E44" s="14"/>
      <c r="F44" s="14"/>
      <c r="H44" s="67"/>
      <c r="J44" s="116">
        <v>25</v>
      </c>
      <c r="L44" s="20">
        <f ca="1" xml:space="preserve"> ( _Saldo_Final _Anterior + T_SeguroAnual!_Saldo_Ciclico ) * ( _Stopper_Saldo_Inicial )</f>
        <v>0</v>
      </c>
      <c r="M44" s="96">
        <f ca="1">MIN( CHOOSE(Opcion.Abono, _Capital_Opcion_1, _Capital_Opcion_2, _Capital_Opcion_3) _Actual, _Saldo_Inicial _Actual)</f>
        <v>0</v>
      </c>
      <c r="N44" s="96">
        <f t="shared" ca="1" si="1"/>
        <v>0</v>
      </c>
      <c r="O44" s="97">
        <f>T_AutoYSeguroMulti!_Dias_Interes_Periodo</f>
        <v>30</v>
      </c>
      <c r="P44" s="97">
        <f t="shared" ca="1" si="2"/>
        <v>0</v>
      </c>
      <c r="Q44" s="97">
        <f t="shared" ca="1" si="3"/>
        <v>0</v>
      </c>
      <c r="R44" s="97">
        <f ca="1">IF(TablaCliente!A44="","",IF(T_Merger!L44=0,0,ROUND(+T_Merger!M44+T_Merger!S44+T_Merger!P44+T_Merger!Q44,2)))</f>
        <v>0</v>
      </c>
      <c r="S44" s="310">
        <f>TablaCliente!_CapturaAbonoAnticipadoTablaCliente</f>
        <v>0</v>
      </c>
      <c r="T44" s="97">
        <f t="shared" ca="1" si="4"/>
        <v>0</v>
      </c>
      <c r="V44" t="b">
        <f ca="1">_Saldo_Final _Anterior &gt; 0</f>
        <v>0</v>
      </c>
      <c r="X44" s="97">
        <f ca="1" xml:space="preserve"> T_AutoYSeguroMulti!Pago.Fijo + T_SeguroAnual!_Pago_Fijo</f>
        <v>21149.540739259039</v>
      </c>
      <c r="Y44" s="97">
        <f ca="1" xml:space="preserve"> T_AutoYSeguroMulti!_Capital + T_SeguroAnual!_Capital</f>
        <v>0</v>
      </c>
      <c r="Z44" s="97">
        <f t="shared" ca="1" si="0"/>
        <v>21149.540739259039</v>
      </c>
      <c r="AB44" s="276">
        <v>0</v>
      </c>
      <c r="AC44"/>
      <c r="AD44" s="97">
        <v>0</v>
      </c>
      <c r="AE44" s="97">
        <v>0</v>
      </c>
      <c r="AF44" s="97"/>
      <c r="AG44" s="97">
        <f ca="1" xml:space="preserve"> T_SeguroAnual!_Abono_Sobrante</f>
        <v>0</v>
      </c>
      <c r="AH44" s="97">
        <f t="shared" si="5"/>
        <v>0</v>
      </c>
      <c r="AI44"/>
      <c r="AJ44" s="97">
        <f ca="1"/>
        <v>0</v>
      </c>
      <c r="AK44" s="97">
        <f ca="1"/>
        <v>0</v>
      </c>
      <c r="AN44" s="44"/>
      <c r="AO44" s="102"/>
    </row>
    <row r="45" spans="2:41">
      <c r="B45" s="301"/>
      <c r="C45" s="301"/>
      <c r="E45" s="116"/>
      <c r="F45" s="116"/>
      <c r="J45" s="14">
        <v>26</v>
      </c>
      <c r="L45" s="20">
        <f ca="1" xml:space="preserve"> ( _Saldo_Final _Anterior + T_SeguroAnual!_Saldo_Ciclico ) * ( _Stopper_Saldo_Inicial )</f>
        <v>0</v>
      </c>
      <c r="M45" s="96">
        <f ca="1">MIN( CHOOSE(Opcion.Abono, _Capital_Opcion_1, _Capital_Opcion_2, _Capital_Opcion_3) _Actual, _Saldo_Inicial _Actual)</f>
        <v>0</v>
      </c>
      <c r="N45" s="96">
        <f t="shared" ca="1" si="1"/>
        <v>0</v>
      </c>
      <c r="O45" s="97">
        <f>T_AutoYSeguroMulti!_Dias_Interes_Periodo</f>
        <v>30</v>
      </c>
      <c r="P45" s="97">
        <f t="shared" ca="1" si="2"/>
        <v>0</v>
      </c>
      <c r="Q45" s="97">
        <f t="shared" ca="1" si="3"/>
        <v>0</v>
      </c>
      <c r="R45" s="97">
        <f ca="1">IF(TablaCliente!A45="","",IF(T_Merger!L45=0,0,ROUND(+T_Merger!M45+T_Merger!S45+T_Merger!P45+T_Merger!Q45,2)))</f>
        <v>0</v>
      </c>
      <c r="S45" s="310">
        <f>TablaCliente!_CapturaAbonoAnticipadoTablaCliente</f>
        <v>0</v>
      </c>
      <c r="T45" s="97">
        <f t="shared" ca="1" si="4"/>
        <v>0</v>
      </c>
      <c r="V45" t="b">
        <f ca="1">_Saldo_Final _Anterior &gt; 0</f>
        <v>0</v>
      </c>
      <c r="W45" s="116"/>
      <c r="X45" s="97">
        <f ca="1" xml:space="preserve"> T_AutoYSeguroMulti!Pago.Fijo + T_SeguroAnual!_Pago_Fijo</f>
        <v>21149.540739259039</v>
      </c>
      <c r="Y45" s="97">
        <f ca="1" xml:space="preserve"> T_AutoYSeguroMulti!_Capital + T_SeguroAnual!_Capital</f>
        <v>0</v>
      </c>
      <c r="Z45" s="97">
        <f t="shared" ca="1" si="0"/>
        <v>21149.540739259039</v>
      </c>
      <c r="AA45" s="116"/>
      <c r="AB45" s="276">
        <v>0</v>
      </c>
      <c r="AC45"/>
      <c r="AD45" s="97">
        <v>0</v>
      </c>
      <c r="AE45" s="97">
        <v>0</v>
      </c>
      <c r="AF45" s="97"/>
      <c r="AG45" s="97">
        <f ca="1" xml:space="preserve"> T_SeguroAnual!_Abono_Sobrante</f>
        <v>0</v>
      </c>
      <c r="AH45" s="97">
        <f t="shared" si="5"/>
        <v>0</v>
      </c>
      <c r="AI45"/>
      <c r="AJ45" s="97">
        <f ca="1"/>
        <v>0</v>
      </c>
      <c r="AK45" s="97">
        <f ca="1"/>
        <v>0</v>
      </c>
      <c r="AN45" s="44"/>
      <c r="AO45" s="102"/>
    </row>
    <row r="46" spans="2:41">
      <c r="B46" s="32"/>
      <c r="C46" s="32"/>
      <c r="J46" s="14">
        <v>27</v>
      </c>
      <c r="L46" s="20">
        <f ca="1" xml:space="preserve"> ( _Saldo_Final _Anterior + T_SeguroAnual!_Saldo_Ciclico ) * ( _Stopper_Saldo_Inicial )</f>
        <v>0</v>
      </c>
      <c r="M46" s="96">
        <f ca="1">MIN( CHOOSE(Opcion.Abono, _Capital_Opcion_1, _Capital_Opcion_2, _Capital_Opcion_3) _Actual, _Saldo_Inicial _Actual)</f>
        <v>0</v>
      </c>
      <c r="N46" s="96">
        <f t="shared" ca="1" si="1"/>
        <v>0</v>
      </c>
      <c r="O46" s="97">
        <f>T_AutoYSeguroMulti!_Dias_Interes_Periodo</f>
        <v>30</v>
      </c>
      <c r="P46" s="97">
        <f t="shared" ca="1" si="2"/>
        <v>0</v>
      </c>
      <c r="Q46" s="97">
        <f t="shared" ca="1" si="3"/>
        <v>0</v>
      </c>
      <c r="R46" s="97">
        <f ca="1">IF(TablaCliente!A46="","",IF(T_Merger!L46=0,0,ROUND(+T_Merger!M46+T_Merger!S46+T_Merger!P46+T_Merger!Q46,2)))</f>
        <v>0</v>
      </c>
      <c r="S46" s="310">
        <f>TablaCliente!_CapturaAbonoAnticipadoTablaCliente</f>
        <v>0</v>
      </c>
      <c r="T46" s="97">
        <f t="shared" ca="1" si="4"/>
        <v>0</v>
      </c>
      <c r="V46" t="b">
        <f ca="1">_Saldo_Final _Anterior &gt; 0</f>
        <v>0</v>
      </c>
      <c r="W46" s="116"/>
      <c r="X46" s="97">
        <f ca="1" xml:space="preserve"> T_AutoYSeguroMulti!Pago.Fijo + T_SeguroAnual!_Pago_Fijo</f>
        <v>21149.540739259039</v>
      </c>
      <c r="Y46" s="97">
        <f ca="1" xml:space="preserve"> T_AutoYSeguroMulti!_Capital + T_SeguroAnual!_Capital</f>
        <v>0</v>
      </c>
      <c r="Z46" s="97">
        <f t="shared" ca="1" si="0"/>
        <v>21149.540739259039</v>
      </c>
      <c r="AA46" s="116"/>
      <c r="AB46" s="276">
        <v>0</v>
      </c>
      <c r="AC46"/>
      <c r="AD46" s="97">
        <v>0</v>
      </c>
      <c r="AE46" s="97">
        <v>0</v>
      </c>
      <c r="AF46" s="97"/>
      <c r="AG46" s="97">
        <f ca="1" xml:space="preserve"> T_SeguroAnual!_Abono_Sobrante</f>
        <v>0</v>
      </c>
      <c r="AH46" s="97">
        <f t="shared" si="5"/>
        <v>0</v>
      </c>
      <c r="AI46"/>
      <c r="AJ46" s="97">
        <f ca="1"/>
        <v>0</v>
      </c>
      <c r="AK46" s="97">
        <f ca="1"/>
        <v>0</v>
      </c>
      <c r="AN46" s="44"/>
      <c r="AO46" s="102"/>
    </row>
    <row r="47" spans="2:41">
      <c r="B47" s="32"/>
      <c r="C47" s="32"/>
      <c r="J47" s="14">
        <v>28</v>
      </c>
      <c r="L47" s="20">
        <f ca="1" xml:space="preserve"> ( _Saldo_Final _Anterior + T_SeguroAnual!_Saldo_Ciclico ) * ( _Stopper_Saldo_Inicial )</f>
        <v>0</v>
      </c>
      <c r="M47" s="96">
        <f ca="1">MIN( CHOOSE(Opcion.Abono, _Capital_Opcion_1, _Capital_Opcion_2, _Capital_Opcion_3) _Actual, _Saldo_Inicial _Actual)</f>
        <v>0</v>
      </c>
      <c r="N47" s="96">
        <f t="shared" ca="1" si="1"/>
        <v>0</v>
      </c>
      <c r="O47" s="97">
        <f>T_AutoYSeguroMulti!_Dias_Interes_Periodo</f>
        <v>30</v>
      </c>
      <c r="P47" s="97">
        <f t="shared" ca="1" si="2"/>
        <v>0</v>
      </c>
      <c r="Q47" s="97">
        <f t="shared" ca="1" si="3"/>
        <v>0</v>
      </c>
      <c r="R47" s="97">
        <f ca="1">IF(TablaCliente!A47="","",IF(T_Merger!L47=0,0,ROUND(+T_Merger!M47+T_Merger!S47+T_Merger!P47+T_Merger!Q47,2)))</f>
        <v>0</v>
      </c>
      <c r="S47" s="310">
        <f>TablaCliente!_CapturaAbonoAnticipadoTablaCliente</f>
        <v>0</v>
      </c>
      <c r="T47" s="97">
        <f t="shared" ca="1" si="4"/>
        <v>0</v>
      </c>
      <c r="V47" t="b">
        <f ca="1">_Saldo_Final _Anterior &gt; 0</f>
        <v>0</v>
      </c>
      <c r="W47" s="116"/>
      <c r="X47" s="97">
        <f ca="1" xml:space="preserve"> T_AutoYSeguroMulti!Pago.Fijo + T_SeguroAnual!_Pago_Fijo</f>
        <v>21149.540739259039</v>
      </c>
      <c r="Y47" s="97">
        <f ca="1" xml:space="preserve"> T_AutoYSeguroMulti!_Capital + T_SeguroAnual!_Capital</f>
        <v>0</v>
      </c>
      <c r="Z47" s="97">
        <f t="shared" ca="1" si="0"/>
        <v>21149.540739259039</v>
      </c>
      <c r="AA47" s="116"/>
      <c r="AB47" s="276">
        <v>0</v>
      </c>
      <c r="AC47"/>
      <c r="AD47" s="97">
        <v>0</v>
      </c>
      <c r="AE47" s="97">
        <v>0</v>
      </c>
      <c r="AF47" s="97"/>
      <c r="AG47" s="97">
        <f ca="1" xml:space="preserve"> T_SeguroAnual!_Abono_Sobrante</f>
        <v>0</v>
      </c>
      <c r="AH47" s="97">
        <f t="shared" si="5"/>
        <v>0</v>
      </c>
      <c r="AI47"/>
      <c r="AJ47" s="97">
        <f ca="1"/>
        <v>0</v>
      </c>
      <c r="AK47" s="97">
        <f ca="1"/>
        <v>0</v>
      </c>
      <c r="AN47" s="44"/>
      <c r="AO47" s="102"/>
    </row>
    <row r="48" spans="2:41">
      <c r="B48" s="32"/>
      <c r="C48" s="32"/>
      <c r="J48" s="14">
        <v>29</v>
      </c>
      <c r="L48" s="20">
        <f ca="1" xml:space="preserve"> ( _Saldo_Final _Anterior + T_SeguroAnual!_Saldo_Ciclico ) * ( _Stopper_Saldo_Inicial )</f>
        <v>0</v>
      </c>
      <c r="M48" s="96">
        <f ca="1">MIN( CHOOSE(Opcion.Abono, _Capital_Opcion_1, _Capital_Opcion_2, _Capital_Opcion_3) _Actual, _Saldo_Inicial _Actual)</f>
        <v>0</v>
      </c>
      <c r="N48" s="96">
        <f t="shared" ca="1" si="1"/>
        <v>0</v>
      </c>
      <c r="O48" s="97">
        <f>T_AutoYSeguroMulti!_Dias_Interes_Periodo</f>
        <v>30</v>
      </c>
      <c r="P48" s="97">
        <f t="shared" ca="1" si="2"/>
        <v>0</v>
      </c>
      <c r="Q48" s="97">
        <f t="shared" ca="1" si="3"/>
        <v>0</v>
      </c>
      <c r="R48" s="97">
        <f ca="1">IF(TablaCliente!A48="","",IF(T_Merger!L48=0,0,ROUND(+T_Merger!M48+T_Merger!S48+T_Merger!P48+T_Merger!Q48,2)))</f>
        <v>0</v>
      </c>
      <c r="S48" s="310">
        <f>TablaCliente!_CapturaAbonoAnticipadoTablaCliente</f>
        <v>0</v>
      </c>
      <c r="T48" s="97">
        <f t="shared" ca="1" si="4"/>
        <v>0</v>
      </c>
      <c r="V48" t="b">
        <f ca="1">_Saldo_Final _Anterior &gt; 0</f>
        <v>0</v>
      </c>
      <c r="W48" s="116"/>
      <c r="X48" s="97">
        <f ca="1" xml:space="preserve"> T_AutoYSeguroMulti!Pago.Fijo + T_SeguroAnual!_Pago_Fijo</f>
        <v>21149.540739259039</v>
      </c>
      <c r="Y48" s="97">
        <f ca="1" xml:space="preserve"> T_AutoYSeguroMulti!_Capital + T_SeguroAnual!_Capital</f>
        <v>0</v>
      </c>
      <c r="Z48" s="97">
        <f t="shared" ca="1" si="0"/>
        <v>21149.540739259039</v>
      </c>
      <c r="AA48" s="116"/>
      <c r="AB48" s="276">
        <v>0</v>
      </c>
      <c r="AC48"/>
      <c r="AD48" s="97">
        <v>0</v>
      </c>
      <c r="AE48" s="97">
        <v>0</v>
      </c>
      <c r="AF48" s="97"/>
      <c r="AG48" s="97">
        <f ca="1" xml:space="preserve"> T_SeguroAnual!_Abono_Sobrante</f>
        <v>0</v>
      </c>
      <c r="AH48" s="97">
        <f t="shared" si="5"/>
        <v>0</v>
      </c>
      <c r="AI48"/>
      <c r="AJ48" s="97">
        <f ca="1"/>
        <v>0</v>
      </c>
      <c r="AK48" s="97">
        <f ca="1"/>
        <v>0</v>
      </c>
      <c r="AN48" s="44"/>
      <c r="AO48" s="102"/>
    </row>
    <row r="49" spans="2:41">
      <c r="B49" s="32"/>
      <c r="C49" s="32"/>
      <c r="J49" s="14">
        <v>30</v>
      </c>
      <c r="L49" s="20">
        <f ca="1" xml:space="preserve"> ( _Saldo_Final _Anterior + T_SeguroAnual!_Saldo_Ciclico ) * ( _Stopper_Saldo_Inicial )</f>
        <v>0</v>
      </c>
      <c r="M49" s="96">
        <f ca="1">MIN( CHOOSE(Opcion.Abono, _Capital_Opcion_1, _Capital_Opcion_2, _Capital_Opcion_3) _Actual, _Saldo_Inicial _Actual)</f>
        <v>0</v>
      </c>
      <c r="N49" s="96">
        <f t="shared" ca="1" si="1"/>
        <v>0</v>
      </c>
      <c r="O49" s="97">
        <f>T_AutoYSeguroMulti!_Dias_Interes_Periodo</f>
        <v>30</v>
      </c>
      <c r="P49" s="97">
        <f t="shared" ca="1" si="2"/>
        <v>0</v>
      </c>
      <c r="Q49" s="97">
        <f t="shared" ca="1" si="3"/>
        <v>0</v>
      </c>
      <c r="R49" s="97">
        <f ca="1">IF(TablaCliente!A49="","",IF(T_Merger!L49=0,0,ROUND(+T_Merger!M49+T_Merger!S49+T_Merger!P49+T_Merger!Q49,2)))</f>
        <v>0</v>
      </c>
      <c r="S49" s="310">
        <f>TablaCliente!_CapturaAbonoAnticipadoTablaCliente</f>
        <v>0</v>
      </c>
      <c r="T49" s="97">
        <f t="shared" ca="1" si="4"/>
        <v>0</v>
      </c>
      <c r="V49" t="b">
        <f ca="1">_Saldo_Final _Anterior &gt; 0</f>
        <v>0</v>
      </c>
      <c r="W49" s="116"/>
      <c r="X49" s="97">
        <f ca="1" xml:space="preserve"> T_AutoYSeguroMulti!Pago.Fijo + T_SeguroAnual!_Pago_Fijo</f>
        <v>21149.540739259039</v>
      </c>
      <c r="Y49" s="97">
        <f ca="1" xml:space="preserve"> T_AutoYSeguroMulti!_Capital + T_SeguroAnual!_Capital</f>
        <v>0</v>
      </c>
      <c r="Z49" s="97">
        <f t="shared" ca="1" si="0"/>
        <v>21149.540739259039</v>
      </c>
      <c r="AA49" s="116"/>
      <c r="AB49" s="276">
        <v>0</v>
      </c>
      <c r="AC49"/>
      <c r="AD49" s="97">
        <v>0</v>
      </c>
      <c r="AE49" s="97">
        <v>0</v>
      </c>
      <c r="AF49" s="97"/>
      <c r="AG49" s="97">
        <f ca="1" xml:space="preserve"> T_SeguroAnual!_Abono_Sobrante</f>
        <v>0</v>
      </c>
      <c r="AH49" s="97">
        <f t="shared" si="5"/>
        <v>0</v>
      </c>
      <c r="AI49"/>
      <c r="AJ49" s="97">
        <f ca="1"/>
        <v>0</v>
      </c>
      <c r="AK49" s="97">
        <f ca="1"/>
        <v>0</v>
      </c>
      <c r="AN49" s="44"/>
      <c r="AO49" s="102"/>
    </row>
    <row r="50" spans="2:41">
      <c r="B50" s="32"/>
      <c r="C50" s="32"/>
      <c r="J50" s="14">
        <v>31</v>
      </c>
      <c r="L50" s="20">
        <f ca="1" xml:space="preserve"> ( _Saldo_Final _Anterior + T_SeguroAnual!_Saldo_Ciclico ) * ( _Stopper_Saldo_Inicial )</f>
        <v>0</v>
      </c>
      <c r="M50" s="96">
        <f ca="1">MIN( CHOOSE(Opcion.Abono, _Capital_Opcion_1, _Capital_Opcion_2, _Capital_Opcion_3) _Actual, _Saldo_Inicial _Actual)</f>
        <v>0</v>
      </c>
      <c r="N50" s="96">
        <f t="shared" ca="1" si="1"/>
        <v>0</v>
      </c>
      <c r="O50" s="97">
        <f>T_AutoYSeguroMulti!_Dias_Interes_Periodo</f>
        <v>30</v>
      </c>
      <c r="P50" s="97">
        <f t="shared" ca="1" si="2"/>
        <v>0</v>
      </c>
      <c r="Q50" s="97">
        <f t="shared" ca="1" si="3"/>
        <v>0</v>
      </c>
      <c r="R50" s="97">
        <f ca="1">IF(TablaCliente!A50="","",IF(T_Merger!L50=0,0,ROUND(+T_Merger!M50+T_Merger!S50+T_Merger!P50+T_Merger!Q50,2)))</f>
        <v>0</v>
      </c>
      <c r="S50" s="310">
        <f>TablaCliente!_CapturaAbonoAnticipadoTablaCliente</f>
        <v>0</v>
      </c>
      <c r="T50" s="97">
        <f t="shared" ca="1" si="4"/>
        <v>0</v>
      </c>
      <c r="V50" t="b">
        <f ca="1">_Saldo_Final _Anterior &gt; 0</f>
        <v>0</v>
      </c>
      <c r="W50" s="116"/>
      <c r="X50" s="97">
        <f ca="1" xml:space="preserve"> T_AutoYSeguroMulti!Pago.Fijo + T_SeguroAnual!_Pago_Fijo</f>
        <v>21149.540739259039</v>
      </c>
      <c r="Y50" s="97">
        <f ca="1" xml:space="preserve"> T_AutoYSeguroMulti!_Capital + T_SeguroAnual!_Capital</f>
        <v>0</v>
      </c>
      <c r="Z50" s="97">
        <f t="shared" ca="1" si="0"/>
        <v>21149.540739259039</v>
      </c>
      <c r="AA50" s="116"/>
      <c r="AB50" s="276">
        <v>0</v>
      </c>
      <c r="AC50"/>
      <c r="AD50" s="97">
        <v>0</v>
      </c>
      <c r="AE50" s="97">
        <v>0</v>
      </c>
      <c r="AF50" s="97"/>
      <c r="AG50" s="97">
        <f ca="1" xml:space="preserve"> T_SeguroAnual!_Abono_Sobrante</f>
        <v>0</v>
      </c>
      <c r="AH50" s="97">
        <f t="shared" si="5"/>
        <v>0</v>
      </c>
      <c r="AI50"/>
      <c r="AJ50" s="97">
        <f ca="1"/>
        <v>0</v>
      </c>
      <c r="AK50" s="97">
        <f ca="1"/>
        <v>0</v>
      </c>
      <c r="AN50" s="44"/>
      <c r="AO50" s="102"/>
    </row>
    <row r="51" spans="2:41">
      <c r="B51" s="32"/>
      <c r="C51" s="32"/>
      <c r="J51" s="14">
        <v>32</v>
      </c>
      <c r="L51" s="20">
        <f ca="1" xml:space="preserve"> ( _Saldo_Final _Anterior + T_SeguroAnual!_Saldo_Ciclico ) * ( _Stopper_Saldo_Inicial )</f>
        <v>0</v>
      </c>
      <c r="M51" s="96">
        <f ca="1">MIN( CHOOSE(Opcion.Abono, _Capital_Opcion_1, _Capital_Opcion_2, _Capital_Opcion_3) _Actual, _Saldo_Inicial _Actual)</f>
        <v>0</v>
      </c>
      <c r="N51" s="96">
        <f t="shared" ca="1" si="1"/>
        <v>0</v>
      </c>
      <c r="O51" s="97">
        <f>T_AutoYSeguroMulti!_Dias_Interes_Periodo</f>
        <v>30</v>
      </c>
      <c r="P51" s="97">
        <f t="shared" ca="1" si="2"/>
        <v>0</v>
      </c>
      <c r="Q51" s="97">
        <f t="shared" ca="1" si="3"/>
        <v>0</v>
      </c>
      <c r="R51" s="97">
        <f ca="1">IF(TablaCliente!A51="","",IF(T_Merger!L51=0,0,ROUND(+T_Merger!M51+T_Merger!S51+T_Merger!P51+T_Merger!Q51,2)))</f>
        <v>0</v>
      </c>
      <c r="S51" s="310">
        <f>TablaCliente!_CapturaAbonoAnticipadoTablaCliente</f>
        <v>0</v>
      </c>
      <c r="T51" s="97">
        <f t="shared" ca="1" si="4"/>
        <v>0</v>
      </c>
      <c r="V51" t="b">
        <f ca="1">_Saldo_Final _Anterior &gt; 0</f>
        <v>0</v>
      </c>
      <c r="W51" s="116"/>
      <c r="X51" s="97">
        <f ca="1" xml:space="preserve"> T_AutoYSeguroMulti!Pago.Fijo + T_SeguroAnual!_Pago_Fijo</f>
        <v>21149.540739259039</v>
      </c>
      <c r="Y51" s="97">
        <f ca="1" xml:space="preserve"> T_AutoYSeguroMulti!_Capital + T_SeguroAnual!_Capital</f>
        <v>0</v>
      </c>
      <c r="Z51" s="97">
        <f t="shared" ca="1" si="0"/>
        <v>21149.540739259039</v>
      </c>
      <c r="AA51" s="116"/>
      <c r="AB51" s="276">
        <v>0</v>
      </c>
      <c r="AC51"/>
      <c r="AD51" s="97">
        <v>0</v>
      </c>
      <c r="AE51" s="97">
        <v>0</v>
      </c>
      <c r="AF51" s="97"/>
      <c r="AG51" s="97">
        <f ca="1" xml:space="preserve"> T_SeguroAnual!_Abono_Sobrante</f>
        <v>0</v>
      </c>
      <c r="AH51" s="97">
        <f t="shared" si="5"/>
        <v>0</v>
      </c>
      <c r="AI51"/>
      <c r="AJ51" s="97">
        <f ca="1"/>
        <v>0</v>
      </c>
      <c r="AK51" s="97">
        <f ca="1"/>
        <v>0</v>
      </c>
      <c r="AN51" s="44"/>
      <c r="AO51" s="102"/>
    </row>
    <row r="52" spans="2:41">
      <c r="B52" s="32"/>
      <c r="C52" s="32"/>
      <c r="J52" s="14">
        <v>33</v>
      </c>
      <c r="L52" s="20">
        <f ca="1" xml:space="preserve"> ( _Saldo_Final _Anterior + T_SeguroAnual!_Saldo_Ciclico ) * ( _Stopper_Saldo_Inicial )</f>
        <v>0</v>
      </c>
      <c r="M52" s="96">
        <f ca="1">MIN( CHOOSE(Opcion.Abono, _Capital_Opcion_1, _Capital_Opcion_2, _Capital_Opcion_3) _Actual, _Saldo_Inicial _Actual)</f>
        <v>0</v>
      </c>
      <c r="N52" s="96">
        <f t="shared" ref="N52:N79" ca="1" si="6" xml:space="preserve"> _Saldo_Inicial * Tasa.Diaria</f>
        <v>0</v>
      </c>
      <c r="O52" s="97">
        <f>T_AutoYSeguroMulti!_Dias_Interes_Periodo</f>
        <v>30</v>
      </c>
      <c r="P52" s="97">
        <f t="shared" ref="P52:P79" ca="1" si="7" xml:space="preserve"> _Interes_Diario * _Dias_Interes_Periodo</f>
        <v>0</v>
      </c>
      <c r="Q52" s="97">
        <f t="shared" ref="Q52:Q79" ca="1" si="8" xml:space="preserve"> _Interes * Iva.Intereses</f>
        <v>0</v>
      </c>
      <c r="R52" s="97">
        <f ca="1">IF(TablaCliente!A52="","",IF(T_Merger!L52=0,0,ROUND(+T_Merger!M52+T_Merger!S52+T_Merger!P52+T_Merger!Q52,2)))</f>
        <v>0</v>
      </c>
      <c r="S52" s="310">
        <f>TablaCliente!_CapturaAbonoAnticipadoTablaCliente</f>
        <v>0</v>
      </c>
      <c r="T52" s="97">
        <f t="shared" ref="T52:T79" ca="1" si="9">MAX( _Saldo_Inicial-_Capital-_Abono_Anticipado, 0)</f>
        <v>0</v>
      </c>
      <c r="V52" t="b">
        <f ca="1">_Saldo_Final _Anterior &gt; 0</f>
        <v>0</v>
      </c>
      <c r="W52" s="116"/>
      <c r="X52" s="97">
        <f ca="1" xml:space="preserve"> T_AutoYSeguroMulti!Pago.Fijo + T_SeguroAnual!_Pago_Fijo</f>
        <v>21149.540739259039</v>
      </c>
      <c r="Y52" s="97">
        <f ca="1" xml:space="preserve"> T_AutoYSeguroMulti!_Capital + T_SeguroAnual!_Capital</f>
        <v>0</v>
      </c>
      <c r="Z52" s="97">
        <f t="shared" ref="Z52:Z79" ca="1" si="10">_Pago_Fijo - (_Interes_Diario * Dias.Por.Periodo * (1+Iva.Intereses))</f>
        <v>21149.540739259039</v>
      </c>
      <c r="AA52" s="116"/>
      <c r="AB52" s="276">
        <v>0</v>
      </c>
      <c r="AC52"/>
      <c r="AD52" s="97">
        <v>0</v>
      </c>
      <c r="AE52" s="97">
        <v>0</v>
      </c>
      <c r="AF52" s="97"/>
      <c r="AG52" s="97">
        <f ca="1" xml:space="preserve"> T_SeguroAnual!_Abono_Sobrante</f>
        <v>0</v>
      </c>
      <c r="AH52" s="97">
        <f t="shared" ref="AH52:AH78" si="11" xml:space="preserve"> _Abono_Anticipado</f>
        <v>0</v>
      </c>
      <c r="AI52"/>
      <c r="AJ52" s="97">
        <f ca="1"/>
        <v>0</v>
      </c>
      <c r="AK52" s="97">
        <f ca="1"/>
        <v>0</v>
      </c>
      <c r="AN52" s="44"/>
      <c r="AO52" s="102"/>
    </row>
    <row r="53" spans="2:41">
      <c r="B53" s="32"/>
      <c r="C53" s="32"/>
      <c r="J53" s="14">
        <v>34</v>
      </c>
      <c r="L53" s="20">
        <f ca="1" xml:space="preserve"> ( _Saldo_Final _Anterior + T_SeguroAnual!_Saldo_Ciclico ) * ( _Stopper_Saldo_Inicial )</f>
        <v>0</v>
      </c>
      <c r="M53" s="96">
        <f ca="1">MIN( CHOOSE(Opcion.Abono, _Capital_Opcion_1, _Capital_Opcion_2, _Capital_Opcion_3) _Actual, _Saldo_Inicial _Actual)</f>
        <v>0</v>
      </c>
      <c r="N53" s="96">
        <f t="shared" ca="1" si="6"/>
        <v>0</v>
      </c>
      <c r="O53" s="97">
        <f>T_AutoYSeguroMulti!_Dias_Interes_Periodo</f>
        <v>30</v>
      </c>
      <c r="P53" s="97">
        <f t="shared" ca="1" si="7"/>
        <v>0</v>
      </c>
      <c r="Q53" s="97">
        <f t="shared" ca="1" si="8"/>
        <v>0</v>
      </c>
      <c r="R53" s="97">
        <f ca="1">IF(TablaCliente!A53="","",IF(T_Merger!L53=0,0,ROUND(+T_Merger!M53+T_Merger!S53+T_Merger!P53+T_Merger!Q53,2)))</f>
        <v>0</v>
      </c>
      <c r="S53" s="310">
        <f>TablaCliente!_CapturaAbonoAnticipadoTablaCliente</f>
        <v>0</v>
      </c>
      <c r="T53" s="97">
        <f t="shared" ca="1" si="9"/>
        <v>0</v>
      </c>
      <c r="V53" t="b">
        <f ca="1">_Saldo_Final _Anterior &gt; 0</f>
        <v>0</v>
      </c>
      <c r="W53" s="116"/>
      <c r="X53" s="97">
        <f ca="1" xml:space="preserve"> T_AutoYSeguroMulti!Pago.Fijo + T_SeguroAnual!_Pago_Fijo</f>
        <v>21149.540739259039</v>
      </c>
      <c r="Y53" s="97">
        <f ca="1" xml:space="preserve"> T_AutoYSeguroMulti!_Capital + T_SeguroAnual!_Capital</f>
        <v>0</v>
      </c>
      <c r="Z53" s="97">
        <f t="shared" ca="1" si="10"/>
        <v>21149.540739259039</v>
      </c>
      <c r="AA53" s="116"/>
      <c r="AB53" s="276">
        <v>0</v>
      </c>
      <c r="AC53"/>
      <c r="AD53" s="97">
        <v>0</v>
      </c>
      <c r="AE53" s="97">
        <v>0</v>
      </c>
      <c r="AF53" s="97"/>
      <c r="AG53" s="97">
        <f ca="1" xml:space="preserve"> T_SeguroAnual!_Abono_Sobrante</f>
        <v>0</v>
      </c>
      <c r="AH53" s="97">
        <f t="shared" si="11"/>
        <v>0</v>
      </c>
      <c r="AI53"/>
      <c r="AJ53" s="97">
        <f ca="1"/>
        <v>0</v>
      </c>
      <c r="AK53" s="97">
        <f ca="1"/>
        <v>0</v>
      </c>
      <c r="AN53" s="44"/>
      <c r="AO53" s="102"/>
    </row>
    <row r="54" spans="2:41">
      <c r="B54" s="32"/>
      <c r="C54" s="32"/>
      <c r="J54" s="14">
        <v>35</v>
      </c>
      <c r="L54" s="20">
        <f ca="1" xml:space="preserve"> ( _Saldo_Final _Anterior + T_SeguroAnual!_Saldo_Ciclico ) * ( _Stopper_Saldo_Inicial )</f>
        <v>0</v>
      </c>
      <c r="M54" s="96">
        <f ca="1">MIN( CHOOSE(Opcion.Abono, _Capital_Opcion_1, _Capital_Opcion_2, _Capital_Opcion_3) _Actual, _Saldo_Inicial _Actual)</f>
        <v>0</v>
      </c>
      <c r="N54" s="96">
        <f t="shared" ca="1" si="6"/>
        <v>0</v>
      </c>
      <c r="O54" s="97">
        <f>T_AutoYSeguroMulti!_Dias_Interes_Periodo</f>
        <v>30</v>
      </c>
      <c r="P54" s="97">
        <f t="shared" ca="1" si="7"/>
        <v>0</v>
      </c>
      <c r="Q54" s="97">
        <f t="shared" ca="1" si="8"/>
        <v>0</v>
      </c>
      <c r="R54" s="97">
        <f ca="1">IF(TablaCliente!A54="","",IF(T_Merger!L54=0,0,ROUND(+T_Merger!M54+T_Merger!S54+T_Merger!P54+T_Merger!Q54,2)))</f>
        <v>0</v>
      </c>
      <c r="S54" s="310">
        <f>TablaCliente!_CapturaAbonoAnticipadoTablaCliente</f>
        <v>0</v>
      </c>
      <c r="T54" s="97">
        <f t="shared" ca="1" si="9"/>
        <v>0</v>
      </c>
      <c r="V54" t="b">
        <f ca="1">_Saldo_Final _Anterior &gt; 0</f>
        <v>0</v>
      </c>
      <c r="W54" s="116"/>
      <c r="X54" s="97">
        <f ca="1" xml:space="preserve"> T_AutoYSeguroMulti!Pago.Fijo + T_SeguroAnual!_Pago_Fijo</f>
        <v>21149.540739259039</v>
      </c>
      <c r="Y54" s="97">
        <f ca="1" xml:space="preserve"> T_AutoYSeguroMulti!_Capital + T_SeguroAnual!_Capital</f>
        <v>0</v>
      </c>
      <c r="Z54" s="97">
        <f t="shared" ca="1" si="10"/>
        <v>21149.540739259039</v>
      </c>
      <c r="AA54" s="116"/>
      <c r="AB54" s="276">
        <v>0</v>
      </c>
      <c r="AC54"/>
      <c r="AD54" s="97">
        <v>0</v>
      </c>
      <c r="AE54" s="97">
        <v>0</v>
      </c>
      <c r="AF54" s="97"/>
      <c r="AG54" s="97">
        <f ca="1" xml:space="preserve"> T_SeguroAnual!_Abono_Sobrante</f>
        <v>0</v>
      </c>
      <c r="AH54" s="97">
        <f t="shared" si="11"/>
        <v>0</v>
      </c>
      <c r="AI54"/>
      <c r="AJ54" s="97">
        <f ca="1"/>
        <v>0</v>
      </c>
      <c r="AK54" s="97">
        <f ca="1"/>
        <v>0</v>
      </c>
      <c r="AN54" s="44"/>
      <c r="AO54" s="102"/>
    </row>
    <row r="55" spans="2:41">
      <c r="B55" s="32"/>
      <c r="C55" s="32"/>
      <c r="J55" s="14">
        <v>36</v>
      </c>
      <c r="L55" s="20">
        <f ca="1" xml:space="preserve"> ( _Saldo_Final _Anterior + T_SeguroAnual!_Saldo_Ciclico ) * ( _Stopper_Saldo_Inicial )</f>
        <v>0</v>
      </c>
      <c r="M55" s="96">
        <f ca="1">MIN( CHOOSE(Opcion.Abono, _Capital_Opcion_1, _Capital_Opcion_2, _Capital_Opcion_3) _Actual, _Saldo_Inicial _Actual)</f>
        <v>0</v>
      </c>
      <c r="N55" s="96">
        <f t="shared" ca="1" si="6"/>
        <v>0</v>
      </c>
      <c r="O55" s="97">
        <f>T_AutoYSeguroMulti!_Dias_Interes_Periodo</f>
        <v>30</v>
      </c>
      <c r="P55" s="97">
        <f t="shared" ca="1" si="7"/>
        <v>0</v>
      </c>
      <c r="Q55" s="97">
        <f t="shared" ca="1" si="8"/>
        <v>0</v>
      </c>
      <c r="R55" s="97">
        <f ca="1">IF(TablaCliente!A55="","",IF(T_Merger!L55=0,0,ROUND(+T_Merger!M55+T_Merger!S55+T_Merger!P55+T_Merger!Q55,2)))</f>
        <v>0</v>
      </c>
      <c r="S55" s="310">
        <f>TablaCliente!_CapturaAbonoAnticipadoTablaCliente</f>
        <v>0</v>
      </c>
      <c r="T55" s="97">
        <f t="shared" ca="1" si="9"/>
        <v>0</v>
      </c>
      <c r="V55" t="b">
        <f ca="1">_Saldo_Final _Anterior &gt; 0</f>
        <v>0</v>
      </c>
      <c r="W55" s="116"/>
      <c r="X55" s="97">
        <f ca="1" xml:space="preserve"> T_AutoYSeguroMulti!Pago.Fijo + T_SeguroAnual!_Pago_Fijo</f>
        <v>21149.540739259039</v>
      </c>
      <c r="Y55" s="97">
        <f ca="1" xml:space="preserve"> T_AutoYSeguroMulti!_Capital + T_SeguroAnual!_Capital</f>
        <v>0</v>
      </c>
      <c r="Z55" s="97">
        <f t="shared" ca="1" si="10"/>
        <v>21149.540739259039</v>
      </c>
      <c r="AA55" s="116"/>
      <c r="AB55" s="276">
        <v>0</v>
      </c>
      <c r="AC55"/>
      <c r="AD55" s="97">
        <v>0</v>
      </c>
      <c r="AE55" s="97">
        <v>0</v>
      </c>
      <c r="AF55" s="97"/>
      <c r="AG55" s="97">
        <f ca="1" xml:space="preserve"> T_SeguroAnual!_Abono_Sobrante</f>
        <v>0</v>
      </c>
      <c r="AH55" s="97">
        <f t="shared" si="11"/>
        <v>0</v>
      </c>
      <c r="AI55"/>
      <c r="AJ55" s="97">
        <f ca="1"/>
        <v>0</v>
      </c>
      <c r="AK55" s="97">
        <f ca="1"/>
        <v>0</v>
      </c>
      <c r="AN55" s="44"/>
      <c r="AO55" s="102"/>
    </row>
    <row r="56" spans="2:41">
      <c r="B56" s="32"/>
      <c r="C56" s="32"/>
      <c r="J56" s="14">
        <v>37</v>
      </c>
      <c r="L56" s="20">
        <f ca="1" xml:space="preserve"> ( _Saldo_Final _Anterior + T_SeguroAnual!_Saldo_Ciclico ) * ( _Stopper_Saldo_Inicial )</f>
        <v>0</v>
      </c>
      <c r="M56" s="96">
        <f ca="1">MIN( CHOOSE(Opcion.Abono, _Capital_Opcion_1, _Capital_Opcion_2, _Capital_Opcion_3) _Actual, _Saldo_Inicial _Actual)</f>
        <v>0</v>
      </c>
      <c r="N56" s="96">
        <f t="shared" ca="1" si="6"/>
        <v>0</v>
      </c>
      <c r="O56" s="97">
        <f>T_AutoYSeguroMulti!_Dias_Interes_Periodo</f>
        <v>30</v>
      </c>
      <c r="P56" s="97">
        <f t="shared" ca="1" si="7"/>
        <v>0</v>
      </c>
      <c r="Q56" s="97">
        <f t="shared" ca="1" si="8"/>
        <v>0</v>
      </c>
      <c r="R56" s="97">
        <f ca="1">IF(TablaCliente!A56="","",IF(T_Merger!L56=0,0,ROUND(+T_Merger!M56+T_Merger!S56+T_Merger!P56+T_Merger!Q56,2)))</f>
        <v>0</v>
      </c>
      <c r="S56" s="310">
        <f>TablaCliente!_CapturaAbonoAnticipadoTablaCliente</f>
        <v>0</v>
      </c>
      <c r="T56" s="97">
        <f t="shared" ca="1" si="9"/>
        <v>0</v>
      </c>
      <c r="V56" t="b">
        <f ca="1">_Saldo_Final _Anterior &gt; 0</f>
        <v>0</v>
      </c>
      <c r="W56" s="116"/>
      <c r="X56" s="97">
        <f ca="1" xml:space="preserve"> T_AutoYSeguroMulti!Pago.Fijo + T_SeguroAnual!_Pago_Fijo</f>
        <v>21149.540739259039</v>
      </c>
      <c r="Y56" s="97">
        <f ca="1" xml:space="preserve"> T_AutoYSeguroMulti!_Capital + T_SeguroAnual!_Capital</f>
        <v>0</v>
      </c>
      <c r="Z56" s="97">
        <f t="shared" ca="1" si="10"/>
        <v>21149.540739259039</v>
      </c>
      <c r="AA56" s="116"/>
      <c r="AB56" s="276">
        <v>0</v>
      </c>
      <c r="AC56"/>
      <c r="AD56" s="97">
        <v>0</v>
      </c>
      <c r="AE56" s="97">
        <v>0</v>
      </c>
      <c r="AF56" s="97"/>
      <c r="AG56" s="97">
        <f ca="1" xml:space="preserve"> T_SeguroAnual!_Abono_Sobrante</f>
        <v>0</v>
      </c>
      <c r="AH56" s="97">
        <f t="shared" si="11"/>
        <v>0</v>
      </c>
      <c r="AI56"/>
      <c r="AJ56" s="97">
        <f ca="1"/>
        <v>0</v>
      </c>
      <c r="AK56" s="97">
        <f ca="1"/>
        <v>0</v>
      </c>
      <c r="AN56" s="44"/>
      <c r="AO56" s="102"/>
    </row>
    <row r="57" spans="2:41">
      <c r="B57" s="32"/>
      <c r="C57" s="32"/>
      <c r="J57" s="14">
        <v>38</v>
      </c>
      <c r="L57" s="20">
        <f ca="1" xml:space="preserve"> ( _Saldo_Final _Anterior + T_SeguroAnual!_Saldo_Ciclico ) * ( _Stopper_Saldo_Inicial )</f>
        <v>0</v>
      </c>
      <c r="M57" s="96">
        <f ca="1">MIN( CHOOSE(Opcion.Abono, _Capital_Opcion_1, _Capital_Opcion_2, _Capital_Opcion_3) _Actual, _Saldo_Inicial _Actual)</f>
        <v>0</v>
      </c>
      <c r="N57" s="96">
        <f t="shared" ca="1" si="6"/>
        <v>0</v>
      </c>
      <c r="O57" s="97">
        <f>T_AutoYSeguroMulti!_Dias_Interes_Periodo</f>
        <v>30</v>
      </c>
      <c r="P57" s="97">
        <f t="shared" ca="1" si="7"/>
        <v>0</v>
      </c>
      <c r="Q57" s="97">
        <f t="shared" ca="1" si="8"/>
        <v>0</v>
      </c>
      <c r="R57" s="97">
        <f ca="1">IF(TablaCliente!A57="","",IF(T_Merger!L57=0,0,ROUND(+T_Merger!M57+T_Merger!S57+T_Merger!P57+T_Merger!Q57,2)))</f>
        <v>0</v>
      </c>
      <c r="S57" s="310">
        <f>TablaCliente!_CapturaAbonoAnticipadoTablaCliente</f>
        <v>0</v>
      </c>
      <c r="T57" s="97">
        <f t="shared" ca="1" si="9"/>
        <v>0</v>
      </c>
      <c r="V57" t="b">
        <f ca="1">_Saldo_Final _Anterior &gt; 0</f>
        <v>0</v>
      </c>
      <c r="W57" s="116"/>
      <c r="X57" s="97">
        <f ca="1" xml:space="preserve"> T_AutoYSeguroMulti!Pago.Fijo + T_SeguroAnual!_Pago_Fijo</f>
        <v>21149.540739259039</v>
      </c>
      <c r="Y57" s="97">
        <f ca="1" xml:space="preserve"> T_AutoYSeguroMulti!_Capital + T_SeguroAnual!_Capital</f>
        <v>0</v>
      </c>
      <c r="Z57" s="97">
        <f t="shared" ca="1" si="10"/>
        <v>21149.540739259039</v>
      </c>
      <c r="AA57" s="116"/>
      <c r="AB57" s="276">
        <v>0</v>
      </c>
      <c r="AC57"/>
      <c r="AD57" s="97">
        <v>0</v>
      </c>
      <c r="AE57" s="97">
        <v>0</v>
      </c>
      <c r="AF57" s="97"/>
      <c r="AG57" s="97">
        <f ca="1" xml:space="preserve"> T_SeguroAnual!_Abono_Sobrante</f>
        <v>0</v>
      </c>
      <c r="AH57" s="97">
        <f t="shared" si="11"/>
        <v>0</v>
      </c>
      <c r="AI57"/>
      <c r="AJ57" s="97">
        <f ca="1"/>
        <v>0</v>
      </c>
      <c r="AK57" s="97">
        <f ca="1"/>
        <v>0</v>
      </c>
      <c r="AN57" s="44"/>
      <c r="AO57" s="102"/>
    </row>
    <row r="58" spans="2:41">
      <c r="B58" s="32"/>
      <c r="C58" s="32"/>
      <c r="J58" s="14">
        <v>39</v>
      </c>
      <c r="L58" s="20">
        <f ca="1" xml:space="preserve"> ( _Saldo_Final _Anterior + T_SeguroAnual!_Saldo_Ciclico ) * ( _Stopper_Saldo_Inicial )</f>
        <v>0</v>
      </c>
      <c r="M58" s="96">
        <f ca="1">MIN( CHOOSE(Opcion.Abono, _Capital_Opcion_1, _Capital_Opcion_2, _Capital_Opcion_3) _Actual, _Saldo_Inicial _Actual)</f>
        <v>0</v>
      </c>
      <c r="N58" s="96">
        <f t="shared" ca="1" si="6"/>
        <v>0</v>
      </c>
      <c r="O58" s="97">
        <f>T_AutoYSeguroMulti!_Dias_Interes_Periodo</f>
        <v>30</v>
      </c>
      <c r="P58" s="97">
        <f t="shared" ca="1" si="7"/>
        <v>0</v>
      </c>
      <c r="Q58" s="97">
        <f t="shared" ca="1" si="8"/>
        <v>0</v>
      </c>
      <c r="R58" s="97">
        <f ca="1">IF(TablaCliente!A58="","",IF(T_Merger!L58=0,0,ROUND(+T_Merger!M58+T_Merger!S58+T_Merger!P58+T_Merger!Q58,2)))</f>
        <v>0</v>
      </c>
      <c r="S58" s="310">
        <f>TablaCliente!_CapturaAbonoAnticipadoTablaCliente</f>
        <v>0</v>
      </c>
      <c r="T58" s="97">
        <f t="shared" ca="1" si="9"/>
        <v>0</v>
      </c>
      <c r="V58" t="b">
        <f ca="1">_Saldo_Final _Anterior &gt; 0</f>
        <v>0</v>
      </c>
      <c r="W58" s="116"/>
      <c r="X58" s="97">
        <f ca="1" xml:space="preserve"> T_AutoYSeguroMulti!Pago.Fijo + T_SeguroAnual!_Pago_Fijo</f>
        <v>21149.540739259039</v>
      </c>
      <c r="Y58" s="97">
        <f ca="1" xml:space="preserve"> T_AutoYSeguroMulti!_Capital + T_SeguroAnual!_Capital</f>
        <v>0</v>
      </c>
      <c r="Z58" s="97">
        <f t="shared" ca="1" si="10"/>
        <v>21149.540739259039</v>
      </c>
      <c r="AA58" s="116"/>
      <c r="AB58" s="276">
        <v>0</v>
      </c>
      <c r="AC58"/>
      <c r="AD58" s="97">
        <v>0</v>
      </c>
      <c r="AE58" s="97">
        <v>0</v>
      </c>
      <c r="AF58" s="97"/>
      <c r="AG58" s="97">
        <f ca="1" xml:space="preserve"> T_SeguroAnual!_Abono_Sobrante</f>
        <v>0</v>
      </c>
      <c r="AH58" s="97">
        <f t="shared" si="11"/>
        <v>0</v>
      </c>
      <c r="AI58"/>
      <c r="AJ58" s="97">
        <f ca="1"/>
        <v>0</v>
      </c>
      <c r="AK58" s="97">
        <f ca="1"/>
        <v>0</v>
      </c>
      <c r="AN58" s="44"/>
      <c r="AO58" s="102"/>
    </row>
    <row r="59" spans="2:41">
      <c r="B59" s="32"/>
      <c r="C59" s="32"/>
      <c r="J59" s="14">
        <v>40</v>
      </c>
      <c r="L59" s="20">
        <f ca="1" xml:space="preserve"> ( _Saldo_Final _Anterior + T_SeguroAnual!_Saldo_Ciclico ) * ( _Stopper_Saldo_Inicial )</f>
        <v>0</v>
      </c>
      <c r="M59" s="96">
        <f ca="1">MIN( CHOOSE(Opcion.Abono, _Capital_Opcion_1, _Capital_Opcion_2, _Capital_Opcion_3) _Actual, _Saldo_Inicial _Actual)</f>
        <v>0</v>
      </c>
      <c r="N59" s="96">
        <f t="shared" ca="1" si="6"/>
        <v>0</v>
      </c>
      <c r="O59" s="97">
        <f>T_AutoYSeguroMulti!_Dias_Interes_Periodo</f>
        <v>30</v>
      </c>
      <c r="P59" s="97">
        <f t="shared" ca="1" si="7"/>
        <v>0</v>
      </c>
      <c r="Q59" s="97">
        <f t="shared" ca="1" si="8"/>
        <v>0</v>
      </c>
      <c r="R59" s="97">
        <f ca="1">IF(TablaCliente!A59="","",IF(T_Merger!L59=0,0,ROUND(+T_Merger!M59+T_Merger!S59+T_Merger!P59+T_Merger!Q59,2)))</f>
        <v>0</v>
      </c>
      <c r="S59" s="310">
        <f>TablaCliente!_CapturaAbonoAnticipadoTablaCliente</f>
        <v>0</v>
      </c>
      <c r="T59" s="97">
        <f t="shared" ca="1" si="9"/>
        <v>0</v>
      </c>
      <c r="V59" t="b">
        <f ca="1">_Saldo_Final _Anterior &gt; 0</f>
        <v>0</v>
      </c>
      <c r="W59" s="116"/>
      <c r="X59" s="97">
        <f ca="1" xml:space="preserve"> T_AutoYSeguroMulti!Pago.Fijo + T_SeguroAnual!_Pago_Fijo</f>
        <v>21149.540739259039</v>
      </c>
      <c r="Y59" s="97">
        <f ca="1" xml:space="preserve"> T_AutoYSeguroMulti!_Capital + T_SeguroAnual!_Capital</f>
        <v>0</v>
      </c>
      <c r="Z59" s="97">
        <f t="shared" ca="1" si="10"/>
        <v>21149.540739259039</v>
      </c>
      <c r="AA59" s="116"/>
      <c r="AB59" s="276">
        <v>0</v>
      </c>
      <c r="AC59"/>
      <c r="AD59" s="97">
        <v>0</v>
      </c>
      <c r="AE59" s="97">
        <v>0</v>
      </c>
      <c r="AF59" s="97"/>
      <c r="AG59" s="97">
        <f ca="1" xml:space="preserve"> T_SeguroAnual!_Abono_Sobrante</f>
        <v>0</v>
      </c>
      <c r="AH59" s="97">
        <f t="shared" si="11"/>
        <v>0</v>
      </c>
      <c r="AI59"/>
      <c r="AJ59" s="97">
        <f ca="1"/>
        <v>0</v>
      </c>
      <c r="AK59" s="97">
        <f ca="1"/>
        <v>0</v>
      </c>
      <c r="AN59" s="44"/>
      <c r="AO59" s="102"/>
    </row>
    <row r="60" spans="2:41">
      <c r="B60" s="32"/>
      <c r="C60" s="32"/>
      <c r="J60" s="14">
        <v>41</v>
      </c>
      <c r="L60" s="20">
        <f ca="1" xml:space="preserve"> ( _Saldo_Final _Anterior + T_SeguroAnual!_Saldo_Ciclico ) * ( _Stopper_Saldo_Inicial )</f>
        <v>0</v>
      </c>
      <c r="M60" s="96">
        <f ca="1">MIN( CHOOSE(Opcion.Abono, _Capital_Opcion_1, _Capital_Opcion_2, _Capital_Opcion_3) _Actual, _Saldo_Inicial _Actual)</f>
        <v>0</v>
      </c>
      <c r="N60" s="96">
        <f t="shared" ca="1" si="6"/>
        <v>0</v>
      </c>
      <c r="O60" s="97">
        <f>T_AutoYSeguroMulti!_Dias_Interes_Periodo</f>
        <v>30</v>
      </c>
      <c r="P60" s="97">
        <f t="shared" ca="1" si="7"/>
        <v>0</v>
      </c>
      <c r="Q60" s="97">
        <f t="shared" ca="1" si="8"/>
        <v>0</v>
      </c>
      <c r="R60" s="97">
        <f ca="1">IF(TablaCliente!A60="","",IF(T_Merger!L60=0,0,ROUND(+T_Merger!M60+T_Merger!S60+T_Merger!P60+T_Merger!Q60,2)))</f>
        <v>0</v>
      </c>
      <c r="S60" s="310">
        <f>TablaCliente!_CapturaAbonoAnticipadoTablaCliente</f>
        <v>0</v>
      </c>
      <c r="T60" s="97">
        <f t="shared" ca="1" si="9"/>
        <v>0</v>
      </c>
      <c r="V60" t="b">
        <f ca="1">_Saldo_Final _Anterior &gt; 0</f>
        <v>0</v>
      </c>
      <c r="W60" s="116"/>
      <c r="X60" s="97">
        <f ca="1" xml:space="preserve"> T_AutoYSeguroMulti!Pago.Fijo + T_SeguroAnual!_Pago_Fijo</f>
        <v>21149.540739259039</v>
      </c>
      <c r="Y60" s="97">
        <f ca="1" xml:space="preserve"> T_AutoYSeguroMulti!_Capital + T_SeguroAnual!_Capital</f>
        <v>0</v>
      </c>
      <c r="Z60" s="97">
        <f t="shared" ca="1" si="10"/>
        <v>21149.540739259039</v>
      </c>
      <c r="AA60" s="116"/>
      <c r="AB60" s="276">
        <v>0</v>
      </c>
      <c r="AC60"/>
      <c r="AD60" s="97">
        <v>0</v>
      </c>
      <c r="AE60" s="97">
        <v>0</v>
      </c>
      <c r="AF60" s="97"/>
      <c r="AG60" s="97">
        <f ca="1" xml:space="preserve"> T_SeguroAnual!_Abono_Sobrante</f>
        <v>0</v>
      </c>
      <c r="AH60" s="97">
        <f t="shared" si="11"/>
        <v>0</v>
      </c>
      <c r="AI60"/>
      <c r="AJ60" s="97">
        <f ca="1"/>
        <v>0</v>
      </c>
      <c r="AK60" s="97">
        <f ca="1"/>
        <v>0</v>
      </c>
      <c r="AN60" s="44"/>
      <c r="AO60" s="102"/>
    </row>
    <row r="61" spans="2:41">
      <c r="B61" s="32"/>
      <c r="C61" s="32"/>
      <c r="J61" s="14">
        <v>42</v>
      </c>
      <c r="L61" s="20">
        <f ca="1" xml:space="preserve"> ( _Saldo_Final _Anterior + T_SeguroAnual!_Saldo_Ciclico ) * ( _Stopper_Saldo_Inicial )</f>
        <v>0</v>
      </c>
      <c r="M61" s="96">
        <f ca="1">MIN( CHOOSE(Opcion.Abono, _Capital_Opcion_1, _Capital_Opcion_2, _Capital_Opcion_3) _Actual, _Saldo_Inicial _Actual)</f>
        <v>0</v>
      </c>
      <c r="N61" s="96">
        <f t="shared" ca="1" si="6"/>
        <v>0</v>
      </c>
      <c r="O61" s="97">
        <f>T_AutoYSeguroMulti!_Dias_Interes_Periodo</f>
        <v>30</v>
      </c>
      <c r="P61" s="97">
        <f t="shared" ca="1" si="7"/>
        <v>0</v>
      </c>
      <c r="Q61" s="97">
        <f t="shared" ca="1" si="8"/>
        <v>0</v>
      </c>
      <c r="R61" s="97">
        <f ca="1">IF(TablaCliente!A61="","",IF(T_Merger!L61=0,0,ROUND(+T_Merger!M61+T_Merger!S61+T_Merger!P61+T_Merger!Q61,2)))</f>
        <v>0</v>
      </c>
      <c r="S61" s="310">
        <f>TablaCliente!_CapturaAbonoAnticipadoTablaCliente</f>
        <v>0</v>
      </c>
      <c r="T61" s="97">
        <f t="shared" ca="1" si="9"/>
        <v>0</v>
      </c>
      <c r="V61" t="b">
        <f ca="1">_Saldo_Final _Anterior &gt; 0</f>
        <v>0</v>
      </c>
      <c r="W61" s="116"/>
      <c r="X61" s="97">
        <f ca="1" xml:space="preserve"> T_AutoYSeguroMulti!Pago.Fijo + T_SeguroAnual!_Pago_Fijo</f>
        <v>21149.540739259039</v>
      </c>
      <c r="Y61" s="97">
        <f ca="1" xml:space="preserve"> T_AutoYSeguroMulti!_Capital + T_SeguroAnual!_Capital</f>
        <v>0</v>
      </c>
      <c r="Z61" s="97">
        <f t="shared" ca="1" si="10"/>
        <v>21149.540739259039</v>
      </c>
      <c r="AA61" s="116"/>
      <c r="AB61" s="276">
        <v>0</v>
      </c>
      <c r="AC61"/>
      <c r="AD61" s="97">
        <v>0</v>
      </c>
      <c r="AE61" s="97">
        <v>0</v>
      </c>
      <c r="AF61" s="97"/>
      <c r="AG61" s="97">
        <f ca="1" xml:space="preserve"> T_SeguroAnual!_Abono_Sobrante</f>
        <v>0</v>
      </c>
      <c r="AH61" s="97">
        <f t="shared" si="11"/>
        <v>0</v>
      </c>
      <c r="AI61"/>
      <c r="AJ61" s="97">
        <f ca="1"/>
        <v>0</v>
      </c>
      <c r="AK61" s="97">
        <f ca="1"/>
        <v>0</v>
      </c>
      <c r="AN61" s="44"/>
      <c r="AO61" s="102"/>
    </row>
    <row r="62" spans="2:41">
      <c r="B62" s="32"/>
      <c r="C62" s="32"/>
      <c r="J62" s="14">
        <v>43</v>
      </c>
      <c r="L62" s="20">
        <f ca="1" xml:space="preserve"> ( _Saldo_Final _Anterior + T_SeguroAnual!_Saldo_Ciclico ) * ( _Stopper_Saldo_Inicial )</f>
        <v>0</v>
      </c>
      <c r="M62" s="96">
        <f ca="1">MIN( CHOOSE(Opcion.Abono, _Capital_Opcion_1, _Capital_Opcion_2, _Capital_Opcion_3) _Actual, _Saldo_Inicial _Actual)</f>
        <v>0</v>
      </c>
      <c r="N62" s="96">
        <f t="shared" ca="1" si="6"/>
        <v>0</v>
      </c>
      <c r="O62" s="97">
        <f>T_AutoYSeguroMulti!_Dias_Interes_Periodo</f>
        <v>30</v>
      </c>
      <c r="P62" s="97">
        <f t="shared" ca="1" si="7"/>
        <v>0</v>
      </c>
      <c r="Q62" s="97">
        <f t="shared" ca="1" si="8"/>
        <v>0</v>
      </c>
      <c r="R62" s="97">
        <f ca="1">IF(TablaCliente!A62="","",IF(T_Merger!L62=0,0,ROUND(+T_Merger!M62+T_Merger!S62+T_Merger!P62+T_Merger!Q62,2)))</f>
        <v>0</v>
      </c>
      <c r="S62" s="310">
        <f>TablaCliente!_CapturaAbonoAnticipadoTablaCliente</f>
        <v>0</v>
      </c>
      <c r="T62" s="97">
        <f t="shared" ca="1" si="9"/>
        <v>0</v>
      </c>
      <c r="V62" t="b">
        <f ca="1">_Saldo_Final _Anterior &gt; 0</f>
        <v>0</v>
      </c>
      <c r="W62" s="116"/>
      <c r="X62" s="97">
        <f ca="1" xml:space="preserve"> T_AutoYSeguroMulti!Pago.Fijo + T_SeguroAnual!_Pago_Fijo</f>
        <v>21149.540739259039</v>
      </c>
      <c r="Y62" s="97">
        <f ca="1" xml:space="preserve"> T_AutoYSeguroMulti!_Capital + T_SeguroAnual!_Capital</f>
        <v>0</v>
      </c>
      <c r="Z62" s="97">
        <f t="shared" ca="1" si="10"/>
        <v>21149.540739259039</v>
      </c>
      <c r="AA62" s="116"/>
      <c r="AB62" s="276">
        <v>0</v>
      </c>
      <c r="AC62"/>
      <c r="AD62" s="97">
        <v>0</v>
      </c>
      <c r="AE62" s="97">
        <v>0</v>
      </c>
      <c r="AF62" s="97"/>
      <c r="AG62" s="97">
        <f ca="1" xml:space="preserve"> T_SeguroAnual!_Abono_Sobrante</f>
        <v>0</v>
      </c>
      <c r="AH62" s="97">
        <f t="shared" si="11"/>
        <v>0</v>
      </c>
      <c r="AI62"/>
      <c r="AJ62" s="97">
        <f ca="1"/>
        <v>0</v>
      </c>
      <c r="AK62" s="97">
        <f ca="1"/>
        <v>0</v>
      </c>
      <c r="AN62" s="44"/>
      <c r="AO62" s="102"/>
    </row>
    <row r="63" spans="2:41">
      <c r="B63" s="32"/>
      <c r="C63" s="32"/>
      <c r="J63" s="14">
        <v>44</v>
      </c>
      <c r="L63" s="20">
        <f ca="1" xml:space="preserve"> ( _Saldo_Final _Anterior + T_SeguroAnual!_Saldo_Ciclico ) * ( _Stopper_Saldo_Inicial )</f>
        <v>0</v>
      </c>
      <c r="M63" s="96">
        <f ca="1">MIN( CHOOSE(Opcion.Abono, _Capital_Opcion_1, _Capital_Opcion_2, _Capital_Opcion_3) _Actual, _Saldo_Inicial _Actual)</f>
        <v>0</v>
      </c>
      <c r="N63" s="96">
        <f t="shared" ca="1" si="6"/>
        <v>0</v>
      </c>
      <c r="O63" s="97">
        <f>T_AutoYSeguroMulti!_Dias_Interes_Periodo</f>
        <v>30</v>
      </c>
      <c r="P63" s="97">
        <f t="shared" ca="1" si="7"/>
        <v>0</v>
      </c>
      <c r="Q63" s="97">
        <f t="shared" ca="1" si="8"/>
        <v>0</v>
      </c>
      <c r="R63" s="97">
        <f ca="1">IF(TablaCliente!A63="","",IF(T_Merger!L63=0,0,ROUND(+T_Merger!M63+T_Merger!S63+T_Merger!P63+T_Merger!Q63,2)))</f>
        <v>0</v>
      </c>
      <c r="S63" s="310">
        <f>TablaCliente!_CapturaAbonoAnticipadoTablaCliente</f>
        <v>0</v>
      </c>
      <c r="T63" s="97">
        <f t="shared" ca="1" si="9"/>
        <v>0</v>
      </c>
      <c r="V63" t="b">
        <f ca="1">_Saldo_Final _Anterior &gt; 0</f>
        <v>0</v>
      </c>
      <c r="W63" s="116"/>
      <c r="X63" s="97">
        <f ca="1" xml:space="preserve"> T_AutoYSeguroMulti!Pago.Fijo + T_SeguroAnual!_Pago_Fijo</f>
        <v>21149.540739259039</v>
      </c>
      <c r="Y63" s="97">
        <f ca="1" xml:space="preserve"> T_AutoYSeguroMulti!_Capital + T_SeguroAnual!_Capital</f>
        <v>0</v>
      </c>
      <c r="Z63" s="97">
        <f t="shared" ca="1" si="10"/>
        <v>21149.540739259039</v>
      </c>
      <c r="AA63" s="116"/>
      <c r="AB63" s="276">
        <v>0</v>
      </c>
      <c r="AC63"/>
      <c r="AD63" s="97">
        <v>0</v>
      </c>
      <c r="AE63" s="97">
        <v>0</v>
      </c>
      <c r="AF63" s="97"/>
      <c r="AG63" s="97">
        <f ca="1" xml:space="preserve"> T_SeguroAnual!_Abono_Sobrante</f>
        <v>0</v>
      </c>
      <c r="AH63" s="97">
        <f t="shared" si="11"/>
        <v>0</v>
      </c>
      <c r="AI63"/>
      <c r="AJ63" s="97">
        <f ca="1"/>
        <v>0</v>
      </c>
      <c r="AK63" s="97">
        <f ca="1"/>
        <v>0</v>
      </c>
      <c r="AN63" s="44"/>
      <c r="AO63" s="102"/>
    </row>
    <row r="64" spans="2:41">
      <c r="B64" s="32"/>
      <c r="C64" s="32"/>
      <c r="J64" s="14">
        <v>45</v>
      </c>
      <c r="L64" s="20">
        <f ca="1" xml:space="preserve"> ( _Saldo_Final _Anterior + T_SeguroAnual!_Saldo_Ciclico ) * ( _Stopper_Saldo_Inicial )</f>
        <v>0</v>
      </c>
      <c r="M64" s="96">
        <f ca="1">MIN( CHOOSE(Opcion.Abono, _Capital_Opcion_1, _Capital_Opcion_2, _Capital_Opcion_3) _Actual, _Saldo_Inicial _Actual)</f>
        <v>0</v>
      </c>
      <c r="N64" s="96">
        <f t="shared" ca="1" si="6"/>
        <v>0</v>
      </c>
      <c r="O64" s="97">
        <f>T_AutoYSeguroMulti!_Dias_Interes_Periodo</f>
        <v>30</v>
      </c>
      <c r="P64" s="97">
        <f t="shared" ca="1" si="7"/>
        <v>0</v>
      </c>
      <c r="Q64" s="97">
        <f t="shared" ca="1" si="8"/>
        <v>0</v>
      </c>
      <c r="R64" s="97">
        <f ca="1">IF(TablaCliente!A64="","",IF(T_Merger!L64=0,0,ROUND(+T_Merger!M64+T_Merger!S64+T_Merger!P64+T_Merger!Q64,2)))</f>
        <v>0</v>
      </c>
      <c r="S64" s="310">
        <f>TablaCliente!_CapturaAbonoAnticipadoTablaCliente</f>
        <v>0</v>
      </c>
      <c r="T64" s="97">
        <f t="shared" ca="1" si="9"/>
        <v>0</v>
      </c>
      <c r="V64" t="b">
        <f ca="1">_Saldo_Final _Anterior &gt; 0</f>
        <v>0</v>
      </c>
      <c r="W64" s="116"/>
      <c r="X64" s="97">
        <f ca="1" xml:space="preserve"> T_AutoYSeguroMulti!Pago.Fijo + T_SeguroAnual!_Pago_Fijo</f>
        <v>21149.540739259039</v>
      </c>
      <c r="Y64" s="97">
        <f ca="1" xml:space="preserve"> T_AutoYSeguroMulti!_Capital + T_SeguroAnual!_Capital</f>
        <v>0</v>
      </c>
      <c r="Z64" s="97">
        <f t="shared" ca="1" si="10"/>
        <v>21149.540739259039</v>
      </c>
      <c r="AA64" s="116"/>
      <c r="AB64" s="276">
        <v>0</v>
      </c>
      <c r="AC64"/>
      <c r="AD64" s="97">
        <v>0</v>
      </c>
      <c r="AE64" s="97">
        <v>0</v>
      </c>
      <c r="AF64" s="97"/>
      <c r="AG64" s="97">
        <f ca="1" xml:space="preserve"> T_SeguroAnual!_Abono_Sobrante</f>
        <v>0</v>
      </c>
      <c r="AH64" s="97">
        <f t="shared" si="11"/>
        <v>0</v>
      </c>
      <c r="AI64"/>
      <c r="AJ64" s="97">
        <f ca="1"/>
        <v>0</v>
      </c>
      <c r="AK64" s="97">
        <f ca="1"/>
        <v>0</v>
      </c>
      <c r="AN64" s="44"/>
      <c r="AO64" s="102"/>
    </row>
    <row r="65" spans="2:41">
      <c r="B65" s="32"/>
      <c r="C65" s="32"/>
      <c r="J65" s="14">
        <v>46</v>
      </c>
      <c r="L65" s="20">
        <f ca="1" xml:space="preserve"> ( _Saldo_Final _Anterior + T_SeguroAnual!_Saldo_Ciclico ) * ( _Stopper_Saldo_Inicial )</f>
        <v>0</v>
      </c>
      <c r="M65" s="96">
        <f ca="1">MIN( CHOOSE(Opcion.Abono, _Capital_Opcion_1, _Capital_Opcion_2, _Capital_Opcion_3) _Actual, _Saldo_Inicial _Actual)</f>
        <v>0</v>
      </c>
      <c r="N65" s="96">
        <f t="shared" ca="1" si="6"/>
        <v>0</v>
      </c>
      <c r="O65" s="97">
        <f>T_AutoYSeguroMulti!_Dias_Interes_Periodo</f>
        <v>30</v>
      </c>
      <c r="P65" s="97">
        <f t="shared" ca="1" si="7"/>
        <v>0</v>
      </c>
      <c r="Q65" s="97">
        <f t="shared" ca="1" si="8"/>
        <v>0</v>
      </c>
      <c r="R65" s="97">
        <f ca="1">IF(TablaCliente!A65="","",IF(T_Merger!L65=0,0,ROUND(+T_Merger!M65+T_Merger!S65+T_Merger!P65+T_Merger!Q65,2)))</f>
        <v>0</v>
      </c>
      <c r="S65" s="310">
        <f>TablaCliente!_CapturaAbonoAnticipadoTablaCliente</f>
        <v>0</v>
      </c>
      <c r="T65" s="97">
        <f t="shared" ca="1" si="9"/>
        <v>0</v>
      </c>
      <c r="V65" t="b">
        <f ca="1">_Saldo_Final _Anterior &gt; 0</f>
        <v>0</v>
      </c>
      <c r="W65" s="116"/>
      <c r="X65" s="97">
        <f ca="1" xml:space="preserve"> T_AutoYSeguroMulti!Pago.Fijo + T_SeguroAnual!_Pago_Fijo</f>
        <v>21149.540739259039</v>
      </c>
      <c r="Y65" s="97">
        <f ca="1" xml:space="preserve"> T_AutoYSeguroMulti!_Capital + T_SeguroAnual!_Capital</f>
        <v>0</v>
      </c>
      <c r="Z65" s="97">
        <f t="shared" ca="1" si="10"/>
        <v>21149.540739259039</v>
      </c>
      <c r="AA65" s="116"/>
      <c r="AB65" s="276">
        <v>0</v>
      </c>
      <c r="AC65"/>
      <c r="AD65" s="97">
        <v>0</v>
      </c>
      <c r="AE65" s="97">
        <v>0</v>
      </c>
      <c r="AF65" s="97"/>
      <c r="AG65" s="97">
        <f ca="1" xml:space="preserve"> T_SeguroAnual!_Abono_Sobrante</f>
        <v>0</v>
      </c>
      <c r="AH65" s="97">
        <f t="shared" si="11"/>
        <v>0</v>
      </c>
      <c r="AI65"/>
      <c r="AJ65" s="97">
        <f ca="1"/>
        <v>0</v>
      </c>
      <c r="AK65" s="97">
        <f ca="1"/>
        <v>0</v>
      </c>
      <c r="AN65" s="44"/>
      <c r="AO65" s="102"/>
    </row>
    <row r="66" spans="2:41">
      <c r="B66" s="32"/>
      <c r="C66" s="32"/>
      <c r="J66" s="14">
        <v>47</v>
      </c>
      <c r="L66" s="20">
        <f ca="1" xml:space="preserve"> ( _Saldo_Final _Anterior + T_SeguroAnual!_Saldo_Ciclico ) * ( _Stopper_Saldo_Inicial )</f>
        <v>0</v>
      </c>
      <c r="M66" s="96">
        <f ca="1">MIN( CHOOSE(Opcion.Abono, _Capital_Opcion_1, _Capital_Opcion_2, _Capital_Opcion_3) _Actual, _Saldo_Inicial _Actual)</f>
        <v>0</v>
      </c>
      <c r="N66" s="96">
        <f t="shared" ca="1" si="6"/>
        <v>0</v>
      </c>
      <c r="O66" s="97">
        <f>T_AutoYSeguroMulti!_Dias_Interes_Periodo</f>
        <v>30</v>
      </c>
      <c r="P66" s="97">
        <f t="shared" ca="1" si="7"/>
        <v>0</v>
      </c>
      <c r="Q66" s="97">
        <f t="shared" ca="1" si="8"/>
        <v>0</v>
      </c>
      <c r="R66" s="97">
        <f ca="1">IF(TablaCliente!A66="","",IF(T_Merger!L66=0,0,ROUND(+T_Merger!M66+T_Merger!S66+T_Merger!P66+T_Merger!Q66,2)))</f>
        <v>0</v>
      </c>
      <c r="S66" s="310">
        <f>TablaCliente!_CapturaAbonoAnticipadoTablaCliente</f>
        <v>0</v>
      </c>
      <c r="T66" s="97">
        <f t="shared" ca="1" si="9"/>
        <v>0</v>
      </c>
      <c r="V66" t="b">
        <f ca="1">_Saldo_Final _Anterior &gt; 0</f>
        <v>0</v>
      </c>
      <c r="W66" s="116"/>
      <c r="X66" s="97">
        <f ca="1" xml:space="preserve"> T_AutoYSeguroMulti!Pago.Fijo + T_SeguroAnual!_Pago_Fijo</f>
        <v>21149.540739259039</v>
      </c>
      <c r="Y66" s="97">
        <f ca="1" xml:space="preserve"> T_AutoYSeguroMulti!_Capital + T_SeguroAnual!_Capital</f>
        <v>0</v>
      </c>
      <c r="Z66" s="97">
        <f t="shared" ca="1" si="10"/>
        <v>21149.540739259039</v>
      </c>
      <c r="AA66" s="116"/>
      <c r="AB66" s="276">
        <v>0</v>
      </c>
      <c r="AC66"/>
      <c r="AD66" s="97">
        <v>0</v>
      </c>
      <c r="AE66" s="97">
        <v>0</v>
      </c>
      <c r="AF66" s="97"/>
      <c r="AG66" s="97">
        <f ca="1" xml:space="preserve"> T_SeguroAnual!_Abono_Sobrante</f>
        <v>0</v>
      </c>
      <c r="AH66" s="97">
        <f t="shared" si="11"/>
        <v>0</v>
      </c>
      <c r="AI66"/>
      <c r="AJ66" s="97">
        <f ca="1"/>
        <v>0</v>
      </c>
      <c r="AK66" s="97">
        <f ca="1"/>
        <v>0</v>
      </c>
      <c r="AN66" s="44"/>
      <c r="AO66" s="102"/>
    </row>
    <row r="67" spans="2:41">
      <c r="B67" s="32"/>
      <c r="C67" s="32"/>
      <c r="J67" s="14">
        <v>48</v>
      </c>
      <c r="L67" s="20">
        <f ca="1" xml:space="preserve"> ( _Saldo_Final _Anterior + T_SeguroAnual!_Saldo_Ciclico ) * ( _Stopper_Saldo_Inicial )</f>
        <v>0</v>
      </c>
      <c r="M67" s="96">
        <f ca="1">MIN( CHOOSE(Opcion.Abono, _Capital_Opcion_1, _Capital_Opcion_2, _Capital_Opcion_3) _Actual, _Saldo_Inicial _Actual)</f>
        <v>0</v>
      </c>
      <c r="N67" s="96">
        <f t="shared" ca="1" si="6"/>
        <v>0</v>
      </c>
      <c r="O67" s="97">
        <f>T_AutoYSeguroMulti!_Dias_Interes_Periodo</f>
        <v>30</v>
      </c>
      <c r="P67" s="97">
        <f t="shared" ca="1" si="7"/>
        <v>0</v>
      </c>
      <c r="Q67" s="97">
        <f t="shared" ca="1" si="8"/>
        <v>0</v>
      </c>
      <c r="R67" s="97">
        <f ca="1">IF(TablaCliente!A67="","",IF(T_Merger!L67=0,0,ROUND(+T_Merger!M67+T_Merger!S67+T_Merger!P67+T_Merger!Q67,2)))</f>
        <v>0</v>
      </c>
      <c r="S67" s="310">
        <f>TablaCliente!_CapturaAbonoAnticipadoTablaCliente</f>
        <v>0</v>
      </c>
      <c r="T67" s="97">
        <f t="shared" ca="1" si="9"/>
        <v>0</v>
      </c>
      <c r="V67" t="b">
        <f ca="1">_Saldo_Final _Anterior &gt; 0</f>
        <v>0</v>
      </c>
      <c r="W67" s="116"/>
      <c r="X67" s="97">
        <f ca="1" xml:space="preserve"> T_AutoYSeguroMulti!Pago.Fijo + T_SeguroAnual!_Pago_Fijo</f>
        <v>21149.540739259039</v>
      </c>
      <c r="Y67" s="97">
        <f ca="1" xml:space="preserve"> T_AutoYSeguroMulti!_Capital + T_SeguroAnual!_Capital</f>
        <v>0</v>
      </c>
      <c r="Z67" s="97">
        <f t="shared" ca="1" si="10"/>
        <v>21149.540739259039</v>
      </c>
      <c r="AA67" s="116"/>
      <c r="AB67" s="276">
        <v>0</v>
      </c>
      <c r="AC67"/>
      <c r="AD67" s="97">
        <v>0</v>
      </c>
      <c r="AE67" s="97">
        <v>0</v>
      </c>
      <c r="AF67" s="97"/>
      <c r="AG67" s="97">
        <f ca="1" xml:space="preserve"> T_SeguroAnual!_Abono_Sobrante</f>
        <v>0</v>
      </c>
      <c r="AH67" s="97">
        <f t="shared" si="11"/>
        <v>0</v>
      </c>
      <c r="AI67"/>
      <c r="AJ67" s="97">
        <f ca="1"/>
        <v>0</v>
      </c>
      <c r="AK67" s="97">
        <f ca="1"/>
        <v>0</v>
      </c>
      <c r="AN67" s="44"/>
      <c r="AO67" s="102"/>
    </row>
    <row r="68" spans="2:41">
      <c r="B68" s="32"/>
      <c r="C68" s="32"/>
      <c r="J68" s="14">
        <v>49</v>
      </c>
      <c r="L68" s="20">
        <f ca="1" xml:space="preserve"> ( _Saldo_Final _Anterior + T_SeguroAnual!_Saldo_Ciclico ) * ( _Stopper_Saldo_Inicial )</f>
        <v>0</v>
      </c>
      <c r="M68" s="96">
        <f ca="1">MIN( CHOOSE(Opcion.Abono, _Capital_Opcion_1, _Capital_Opcion_2, _Capital_Opcion_3) _Actual, _Saldo_Inicial _Actual)</f>
        <v>0</v>
      </c>
      <c r="N68" s="96">
        <f t="shared" ca="1" si="6"/>
        <v>0</v>
      </c>
      <c r="O68" s="97">
        <f>T_AutoYSeguroMulti!_Dias_Interes_Periodo</f>
        <v>30</v>
      </c>
      <c r="P68" s="97">
        <f t="shared" ca="1" si="7"/>
        <v>0</v>
      </c>
      <c r="Q68" s="97">
        <f t="shared" ca="1" si="8"/>
        <v>0</v>
      </c>
      <c r="R68" s="97">
        <f ca="1">IF(TablaCliente!A68="","",IF(T_Merger!L68=0,0,ROUND(+T_Merger!M68+T_Merger!S68+T_Merger!P68+T_Merger!Q68,2)))</f>
        <v>0</v>
      </c>
      <c r="S68" s="310">
        <f>TablaCliente!_CapturaAbonoAnticipadoTablaCliente</f>
        <v>0</v>
      </c>
      <c r="T68" s="97">
        <f t="shared" ca="1" si="9"/>
        <v>0</v>
      </c>
      <c r="V68" t="b">
        <f ca="1">_Saldo_Final _Anterior &gt; 0</f>
        <v>0</v>
      </c>
      <c r="W68" s="116"/>
      <c r="X68" s="97">
        <f ca="1" xml:space="preserve"> T_AutoYSeguroMulti!Pago.Fijo + T_SeguroAnual!_Pago_Fijo</f>
        <v>21149.540739259039</v>
      </c>
      <c r="Y68" s="97">
        <f ca="1" xml:space="preserve"> T_AutoYSeguroMulti!_Capital + T_SeguroAnual!_Capital</f>
        <v>0</v>
      </c>
      <c r="Z68" s="97">
        <f t="shared" ca="1" si="10"/>
        <v>21149.540739259039</v>
      </c>
      <c r="AA68" s="116"/>
      <c r="AB68" s="276">
        <v>0</v>
      </c>
      <c r="AC68"/>
      <c r="AD68" s="97">
        <v>0</v>
      </c>
      <c r="AE68" s="97">
        <v>0</v>
      </c>
      <c r="AF68" s="97"/>
      <c r="AG68" s="97">
        <f ca="1" xml:space="preserve"> T_SeguroAnual!_Abono_Sobrante</f>
        <v>0</v>
      </c>
      <c r="AH68" s="97">
        <f t="shared" si="11"/>
        <v>0</v>
      </c>
      <c r="AI68"/>
      <c r="AJ68" s="97">
        <f ca="1"/>
        <v>0</v>
      </c>
      <c r="AK68" s="97">
        <f ca="1"/>
        <v>0</v>
      </c>
      <c r="AN68" s="44"/>
      <c r="AO68" s="102"/>
    </row>
    <row r="69" spans="2:41">
      <c r="B69" s="32"/>
      <c r="C69" s="32"/>
      <c r="J69" s="14">
        <v>50</v>
      </c>
      <c r="L69" s="20">
        <f ca="1" xml:space="preserve"> ( _Saldo_Final _Anterior + T_SeguroAnual!_Saldo_Ciclico ) * ( _Stopper_Saldo_Inicial )</f>
        <v>0</v>
      </c>
      <c r="M69" s="96">
        <f ca="1">MIN( CHOOSE(Opcion.Abono, _Capital_Opcion_1, _Capital_Opcion_2, _Capital_Opcion_3) _Actual, _Saldo_Inicial _Actual)</f>
        <v>0</v>
      </c>
      <c r="N69" s="96">
        <f t="shared" ca="1" si="6"/>
        <v>0</v>
      </c>
      <c r="O69" s="97">
        <f>T_AutoYSeguroMulti!_Dias_Interes_Periodo</f>
        <v>30</v>
      </c>
      <c r="P69" s="97">
        <f t="shared" ca="1" si="7"/>
        <v>0</v>
      </c>
      <c r="Q69" s="97">
        <f t="shared" ca="1" si="8"/>
        <v>0</v>
      </c>
      <c r="R69" s="97">
        <f ca="1">IF(TablaCliente!A69="","",IF(T_Merger!L69=0,0,ROUND(+T_Merger!M69+T_Merger!S69+T_Merger!P69+T_Merger!Q69,2)))</f>
        <v>0</v>
      </c>
      <c r="S69" s="310">
        <f>TablaCliente!_CapturaAbonoAnticipadoTablaCliente</f>
        <v>0</v>
      </c>
      <c r="T69" s="97">
        <f t="shared" ca="1" si="9"/>
        <v>0</v>
      </c>
      <c r="V69" t="b">
        <f ca="1">_Saldo_Final _Anterior &gt; 0</f>
        <v>0</v>
      </c>
      <c r="W69" s="116"/>
      <c r="X69" s="97">
        <f ca="1" xml:space="preserve"> T_AutoYSeguroMulti!Pago.Fijo + T_SeguroAnual!_Pago_Fijo</f>
        <v>21149.540739259039</v>
      </c>
      <c r="Y69" s="97">
        <f ca="1" xml:space="preserve"> T_AutoYSeguroMulti!_Capital + T_SeguroAnual!_Capital</f>
        <v>0</v>
      </c>
      <c r="Z69" s="97">
        <f t="shared" ca="1" si="10"/>
        <v>21149.540739259039</v>
      </c>
      <c r="AA69" s="116"/>
      <c r="AB69" s="276">
        <v>0</v>
      </c>
      <c r="AC69"/>
      <c r="AD69" s="97">
        <v>0</v>
      </c>
      <c r="AE69" s="97">
        <v>0</v>
      </c>
      <c r="AF69" s="97"/>
      <c r="AG69" s="97">
        <f ca="1" xml:space="preserve"> T_SeguroAnual!_Abono_Sobrante</f>
        <v>0</v>
      </c>
      <c r="AH69" s="97">
        <f t="shared" si="11"/>
        <v>0</v>
      </c>
      <c r="AI69"/>
      <c r="AJ69" s="97">
        <f ca="1"/>
        <v>0</v>
      </c>
      <c r="AK69" s="97">
        <f ca="1"/>
        <v>0</v>
      </c>
      <c r="AN69" s="44"/>
      <c r="AO69" s="102"/>
    </row>
    <row r="70" spans="2:41">
      <c r="B70" s="32"/>
      <c r="C70" s="32"/>
      <c r="J70" s="14">
        <v>51</v>
      </c>
      <c r="L70" s="20">
        <f ca="1" xml:space="preserve"> ( _Saldo_Final _Anterior + T_SeguroAnual!_Saldo_Ciclico ) * ( _Stopper_Saldo_Inicial )</f>
        <v>0</v>
      </c>
      <c r="M70" s="96">
        <f ca="1">MIN( CHOOSE(Opcion.Abono, _Capital_Opcion_1, _Capital_Opcion_2, _Capital_Opcion_3) _Actual, _Saldo_Inicial _Actual)</f>
        <v>0</v>
      </c>
      <c r="N70" s="96">
        <f t="shared" ca="1" si="6"/>
        <v>0</v>
      </c>
      <c r="O70" s="97">
        <f>T_AutoYSeguroMulti!_Dias_Interes_Periodo</f>
        <v>30</v>
      </c>
      <c r="P70" s="97">
        <f t="shared" ca="1" si="7"/>
        <v>0</v>
      </c>
      <c r="Q70" s="97">
        <f t="shared" ca="1" si="8"/>
        <v>0</v>
      </c>
      <c r="R70" s="97">
        <f ca="1">IF(TablaCliente!A70="","",IF(T_Merger!L70=0,0,ROUND(+T_Merger!M70+T_Merger!S70+T_Merger!P70+T_Merger!Q70,2)))</f>
        <v>0</v>
      </c>
      <c r="S70" s="310">
        <f>TablaCliente!_CapturaAbonoAnticipadoTablaCliente</f>
        <v>0</v>
      </c>
      <c r="T70" s="97">
        <f t="shared" ca="1" si="9"/>
        <v>0</v>
      </c>
      <c r="V70" t="b">
        <f ca="1">_Saldo_Final _Anterior &gt; 0</f>
        <v>0</v>
      </c>
      <c r="W70" s="116"/>
      <c r="X70" s="97">
        <f ca="1" xml:space="preserve"> T_AutoYSeguroMulti!Pago.Fijo + T_SeguroAnual!_Pago_Fijo</f>
        <v>21149.540739259039</v>
      </c>
      <c r="Y70" s="97">
        <f ca="1" xml:space="preserve"> T_AutoYSeguroMulti!_Capital + T_SeguroAnual!_Capital</f>
        <v>0</v>
      </c>
      <c r="Z70" s="97">
        <f t="shared" ca="1" si="10"/>
        <v>21149.540739259039</v>
      </c>
      <c r="AA70" s="116"/>
      <c r="AB70" s="276">
        <v>0</v>
      </c>
      <c r="AC70"/>
      <c r="AD70" s="97">
        <v>0</v>
      </c>
      <c r="AE70" s="97">
        <v>0</v>
      </c>
      <c r="AF70" s="97"/>
      <c r="AG70" s="97">
        <f ca="1" xml:space="preserve"> T_SeguroAnual!_Abono_Sobrante</f>
        <v>0</v>
      </c>
      <c r="AH70" s="97">
        <f t="shared" si="11"/>
        <v>0</v>
      </c>
      <c r="AI70"/>
      <c r="AJ70" s="97">
        <f ca="1"/>
        <v>0</v>
      </c>
      <c r="AK70" s="97">
        <f ca="1"/>
        <v>0</v>
      </c>
      <c r="AN70" s="44"/>
      <c r="AO70" s="102"/>
    </row>
    <row r="71" spans="2:41">
      <c r="B71" s="32"/>
      <c r="C71" s="32"/>
      <c r="J71" s="14">
        <v>52</v>
      </c>
      <c r="L71" s="20">
        <f ca="1" xml:space="preserve"> ( _Saldo_Final _Anterior + T_SeguroAnual!_Saldo_Ciclico ) * ( _Stopper_Saldo_Inicial )</f>
        <v>0</v>
      </c>
      <c r="M71" s="96">
        <f ca="1">MIN( CHOOSE(Opcion.Abono, _Capital_Opcion_1, _Capital_Opcion_2, _Capital_Opcion_3) _Actual, _Saldo_Inicial _Actual)</f>
        <v>0</v>
      </c>
      <c r="N71" s="96">
        <f t="shared" ca="1" si="6"/>
        <v>0</v>
      </c>
      <c r="O71" s="97">
        <f>T_AutoYSeguroMulti!_Dias_Interes_Periodo</f>
        <v>30</v>
      </c>
      <c r="P71" s="97">
        <f t="shared" ca="1" si="7"/>
        <v>0</v>
      </c>
      <c r="Q71" s="97">
        <f t="shared" ca="1" si="8"/>
        <v>0</v>
      </c>
      <c r="R71" s="97">
        <f ca="1">IF(TablaCliente!A71="","",IF(T_Merger!L71=0,0,ROUND(+T_Merger!M71+T_Merger!S71+T_Merger!P71+T_Merger!Q71,2)))</f>
        <v>0</v>
      </c>
      <c r="S71" s="310">
        <f>TablaCliente!_CapturaAbonoAnticipadoTablaCliente</f>
        <v>0</v>
      </c>
      <c r="T71" s="97">
        <f t="shared" ca="1" si="9"/>
        <v>0</v>
      </c>
      <c r="V71" t="b">
        <f ca="1">_Saldo_Final _Anterior &gt; 0</f>
        <v>0</v>
      </c>
      <c r="W71" s="116"/>
      <c r="X71" s="97">
        <f ca="1" xml:space="preserve"> T_AutoYSeguroMulti!Pago.Fijo + T_SeguroAnual!_Pago_Fijo</f>
        <v>21149.540739259039</v>
      </c>
      <c r="Y71" s="97">
        <f ca="1" xml:space="preserve"> T_AutoYSeguroMulti!_Capital + T_SeguroAnual!_Capital</f>
        <v>0</v>
      </c>
      <c r="Z71" s="97">
        <f t="shared" ca="1" si="10"/>
        <v>21149.540739259039</v>
      </c>
      <c r="AA71" s="116"/>
      <c r="AB71" s="276">
        <v>0</v>
      </c>
      <c r="AC71"/>
      <c r="AD71" s="97">
        <v>0</v>
      </c>
      <c r="AE71" s="97">
        <v>0</v>
      </c>
      <c r="AF71" s="97"/>
      <c r="AG71" s="97">
        <f ca="1" xml:space="preserve"> T_SeguroAnual!_Abono_Sobrante</f>
        <v>0</v>
      </c>
      <c r="AH71" s="97">
        <f t="shared" si="11"/>
        <v>0</v>
      </c>
      <c r="AI71"/>
      <c r="AJ71" s="97">
        <f ca="1"/>
        <v>0</v>
      </c>
      <c r="AK71" s="97">
        <f ca="1"/>
        <v>0</v>
      </c>
      <c r="AN71" s="44"/>
      <c r="AO71" s="102"/>
    </row>
    <row r="72" spans="2:41">
      <c r="B72" s="32"/>
      <c r="C72" s="32"/>
      <c r="J72" s="14">
        <v>53</v>
      </c>
      <c r="L72" s="20">
        <f ca="1" xml:space="preserve"> ( _Saldo_Final _Anterior + T_SeguroAnual!_Saldo_Ciclico ) * ( _Stopper_Saldo_Inicial )</f>
        <v>0</v>
      </c>
      <c r="M72" s="96">
        <f ca="1">MIN( CHOOSE(Opcion.Abono, _Capital_Opcion_1, _Capital_Opcion_2, _Capital_Opcion_3) _Actual, _Saldo_Inicial _Actual)</f>
        <v>0</v>
      </c>
      <c r="N72" s="96">
        <f t="shared" ca="1" si="6"/>
        <v>0</v>
      </c>
      <c r="O72" s="97">
        <f>T_AutoYSeguroMulti!_Dias_Interes_Periodo</f>
        <v>30</v>
      </c>
      <c r="P72" s="97">
        <f t="shared" ca="1" si="7"/>
        <v>0</v>
      </c>
      <c r="Q72" s="97">
        <f t="shared" ca="1" si="8"/>
        <v>0</v>
      </c>
      <c r="R72" s="97">
        <f ca="1">IF(TablaCliente!A72="","",IF(T_Merger!L72=0,0,ROUND(+T_Merger!M72+T_Merger!S72+T_Merger!P72+T_Merger!Q72,2)))</f>
        <v>0</v>
      </c>
      <c r="S72" s="310">
        <f>TablaCliente!_CapturaAbonoAnticipadoTablaCliente</f>
        <v>0</v>
      </c>
      <c r="T72" s="97">
        <f t="shared" ca="1" si="9"/>
        <v>0</v>
      </c>
      <c r="V72" t="b">
        <f ca="1">_Saldo_Final _Anterior &gt; 0</f>
        <v>0</v>
      </c>
      <c r="W72" s="116"/>
      <c r="X72" s="97">
        <f ca="1" xml:space="preserve"> T_AutoYSeguroMulti!Pago.Fijo + T_SeguroAnual!_Pago_Fijo</f>
        <v>21149.540739259039</v>
      </c>
      <c r="Y72" s="97">
        <f ca="1" xml:space="preserve"> T_AutoYSeguroMulti!_Capital + T_SeguroAnual!_Capital</f>
        <v>0</v>
      </c>
      <c r="Z72" s="97">
        <f t="shared" ca="1" si="10"/>
        <v>21149.540739259039</v>
      </c>
      <c r="AA72" s="116"/>
      <c r="AB72" s="276">
        <v>0</v>
      </c>
      <c r="AC72"/>
      <c r="AD72" s="97">
        <v>0</v>
      </c>
      <c r="AE72" s="97">
        <v>0</v>
      </c>
      <c r="AF72" s="97"/>
      <c r="AG72" s="97">
        <f ca="1" xml:space="preserve"> T_SeguroAnual!_Abono_Sobrante</f>
        <v>0</v>
      </c>
      <c r="AH72" s="97">
        <f t="shared" si="11"/>
        <v>0</v>
      </c>
      <c r="AI72"/>
      <c r="AJ72" s="97">
        <f ca="1"/>
        <v>0</v>
      </c>
      <c r="AK72" s="97">
        <f ca="1"/>
        <v>0</v>
      </c>
      <c r="AN72" s="44"/>
      <c r="AO72" s="102"/>
    </row>
    <row r="73" spans="2:41">
      <c r="B73" s="32"/>
      <c r="C73" s="32"/>
      <c r="J73" s="14">
        <v>54</v>
      </c>
      <c r="L73" s="20">
        <f ca="1" xml:space="preserve"> ( _Saldo_Final _Anterior + T_SeguroAnual!_Saldo_Ciclico ) * ( _Stopper_Saldo_Inicial )</f>
        <v>0</v>
      </c>
      <c r="M73" s="96">
        <f ca="1">MIN( CHOOSE(Opcion.Abono, _Capital_Opcion_1, _Capital_Opcion_2, _Capital_Opcion_3) _Actual, _Saldo_Inicial _Actual)</f>
        <v>0</v>
      </c>
      <c r="N73" s="96">
        <f t="shared" ca="1" si="6"/>
        <v>0</v>
      </c>
      <c r="O73" s="97">
        <f>T_AutoYSeguroMulti!_Dias_Interes_Periodo</f>
        <v>30</v>
      </c>
      <c r="P73" s="97">
        <f t="shared" ca="1" si="7"/>
        <v>0</v>
      </c>
      <c r="Q73" s="97">
        <f t="shared" ca="1" si="8"/>
        <v>0</v>
      </c>
      <c r="R73" s="97">
        <f ca="1">IF(TablaCliente!A73="","",IF(T_Merger!L73=0,0,ROUND(+T_Merger!M73+T_Merger!S73+T_Merger!P73+T_Merger!Q73,2)))</f>
        <v>0</v>
      </c>
      <c r="S73" s="310">
        <f>TablaCliente!_CapturaAbonoAnticipadoTablaCliente</f>
        <v>0</v>
      </c>
      <c r="T73" s="97">
        <f t="shared" ca="1" si="9"/>
        <v>0</v>
      </c>
      <c r="V73" t="b">
        <f ca="1">_Saldo_Final _Anterior &gt; 0</f>
        <v>0</v>
      </c>
      <c r="W73" s="116"/>
      <c r="X73" s="97">
        <f ca="1" xml:space="preserve"> T_AutoYSeguroMulti!Pago.Fijo + T_SeguroAnual!_Pago_Fijo</f>
        <v>21149.540739259039</v>
      </c>
      <c r="Y73" s="97">
        <f ca="1" xml:space="preserve"> T_AutoYSeguroMulti!_Capital + T_SeguroAnual!_Capital</f>
        <v>0</v>
      </c>
      <c r="Z73" s="97">
        <f t="shared" ca="1" si="10"/>
        <v>21149.540739259039</v>
      </c>
      <c r="AA73" s="116"/>
      <c r="AB73" s="276">
        <v>0</v>
      </c>
      <c r="AC73"/>
      <c r="AD73" s="97">
        <v>0</v>
      </c>
      <c r="AE73" s="97">
        <v>0</v>
      </c>
      <c r="AF73" s="97"/>
      <c r="AG73" s="97">
        <f ca="1" xml:space="preserve"> T_SeguroAnual!_Abono_Sobrante</f>
        <v>0</v>
      </c>
      <c r="AH73" s="97">
        <f t="shared" si="11"/>
        <v>0</v>
      </c>
      <c r="AI73"/>
      <c r="AJ73" s="97">
        <f ca="1"/>
        <v>0</v>
      </c>
      <c r="AK73" s="97">
        <f ca="1"/>
        <v>0</v>
      </c>
      <c r="AN73" s="44"/>
      <c r="AO73" s="102"/>
    </row>
    <row r="74" spans="2:41">
      <c r="B74" s="32"/>
      <c r="C74" s="32"/>
      <c r="J74" s="14">
        <v>55</v>
      </c>
      <c r="L74" s="20">
        <f ca="1" xml:space="preserve"> ( _Saldo_Final _Anterior + T_SeguroAnual!_Saldo_Ciclico ) * ( _Stopper_Saldo_Inicial )</f>
        <v>0</v>
      </c>
      <c r="M74" s="96">
        <f ca="1">MIN( CHOOSE(Opcion.Abono, _Capital_Opcion_1, _Capital_Opcion_2, _Capital_Opcion_3) _Actual, _Saldo_Inicial _Actual)</f>
        <v>0</v>
      </c>
      <c r="N74" s="96">
        <f t="shared" ca="1" si="6"/>
        <v>0</v>
      </c>
      <c r="O74" s="97">
        <f>T_AutoYSeguroMulti!_Dias_Interes_Periodo</f>
        <v>30</v>
      </c>
      <c r="P74" s="97">
        <f t="shared" ca="1" si="7"/>
        <v>0</v>
      </c>
      <c r="Q74" s="97">
        <f t="shared" ca="1" si="8"/>
        <v>0</v>
      </c>
      <c r="R74" s="97">
        <f ca="1">IF(TablaCliente!A74="","",IF(T_Merger!L74=0,0,ROUND(+T_Merger!M74+T_Merger!S74+T_Merger!P74+T_Merger!Q74,2)))</f>
        <v>0</v>
      </c>
      <c r="S74" s="310">
        <f>TablaCliente!_CapturaAbonoAnticipadoTablaCliente</f>
        <v>0</v>
      </c>
      <c r="T74" s="97">
        <f t="shared" ca="1" si="9"/>
        <v>0</v>
      </c>
      <c r="V74" t="b">
        <f ca="1">_Saldo_Final _Anterior &gt; 0</f>
        <v>0</v>
      </c>
      <c r="W74" s="116"/>
      <c r="X74" s="97">
        <f ca="1" xml:space="preserve"> T_AutoYSeguroMulti!Pago.Fijo + T_SeguroAnual!_Pago_Fijo</f>
        <v>21149.540739259039</v>
      </c>
      <c r="Y74" s="97">
        <f ca="1" xml:space="preserve"> T_AutoYSeguroMulti!_Capital + T_SeguroAnual!_Capital</f>
        <v>0</v>
      </c>
      <c r="Z74" s="97">
        <f t="shared" ca="1" si="10"/>
        <v>21149.540739259039</v>
      </c>
      <c r="AA74" s="116"/>
      <c r="AB74" s="276">
        <v>0</v>
      </c>
      <c r="AC74"/>
      <c r="AD74" s="97">
        <v>0</v>
      </c>
      <c r="AE74" s="97">
        <v>0</v>
      </c>
      <c r="AF74" s="97"/>
      <c r="AG74" s="97">
        <f ca="1" xml:space="preserve"> T_SeguroAnual!_Abono_Sobrante</f>
        <v>0</v>
      </c>
      <c r="AH74" s="97">
        <f t="shared" si="11"/>
        <v>0</v>
      </c>
      <c r="AI74"/>
      <c r="AJ74" s="97">
        <f ca="1"/>
        <v>0</v>
      </c>
      <c r="AK74" s="97">
        <f ca="1"/>
        <v>0</v>
      </c>
      <c r="AN74" s="44"/>
      <c r="AO74" s="102"/>
    </row>
    <row r="75" spans="2:41">
      <c r="B75" s="32"/>
      <c r="C75" s="32"/>
      <c r="J75" s="14">
        <v>56</v>
      </c>
      <c r="L75" s="20">
        <f ca="1" xml:space="preserve"> ( _Saldo_Final _Anterior + T_SeguroAnual!_Saldo_Ciclico ) * ( _Stopper_Saldo_Inicial )</f>
        <v>0</v>
      </c>
      <c r="M75" s="96">
        <f ca="1">MIN( CHOOSE(Opcion.Abono, _Capital_Opcion_1, _Capital_Opcion_2, _Capital_Opcion_3) _Actual, _Saldo_Inicial _Actual)</f>
        <v>0</v>
      </c>
      <c r="N75" s="96">
        <f t="shared" ca="1" si="6"/>
        <v>0</v>
      </c>
      <c r="O75" s="97">
        <f>T_AutoYSeguroMulti!_Dias_Interes_Periodo</f>
        <v>30</v>
      </c>
      <c r="P75" s="97">
        <f t="shared" ca="1" si="7"/>
        <v>0</v>
      </c>
      <c r="Q75" s="97">
        <f t="shared" ca="1" si="8"/>
        <v>0</v>
      </c>
      <c r="R75" s="97">
        <f ca="1">IF(TablaCliente!A75="","",IF(T_Merger!L75=0,0,ROUND(+T_Merger!M75+T_Merger!S75+T_Merger!P75+T_Merger!Q75,2)))</f>
        <v>0</v>
      </c>
      <c r="S75" s="310">
        <f>TablaCliente!_CapturaAbonoAnticipadoTablaCliente</f>
        <v>0</v>
      </c>
      <c r="T75" s="97">
        <f t="shared" ca="1" si="9"/>
        <v>0</v>
      </c>
      <c r="V75" t="b">
        <f ca="1">_Saldo_Final _Anterior &gt; 0</f>
        <v>0</v>
      </c>
      <c r="W75" s="116"/>
      <c r="X75" s="97">
        <f ca="1" xml:space="preserve"> T_AutoYSeguroMulti!Pago.Fijo + T_SeguroAnual!_Pago_Fijo</f>
        <v>21149.540739259039</v>
      </c>
      <c r="Y75" s="97">
        <f ca="1" xml:space="preserve"> T_AutoYSeguroMulti!_Capital + T_SeguroAnual!_Capital</f>
        <v>0</v>
      </c>
      <c r="Z75" s="97">
        <f t="shared" ca="1" si="10"/>
        <v>21149.540739259039</v>
      </c>
      <c r="AA75" s="116"/>
      <c r="AB75" s="276">
        <v>0</v>
      </c>
      <c r="AC75"/>
      <c r="AD75" s="97">
        <v>0</v>
      </c>
      <c r="AE75" s="97">
        <v>0</v>
      </c>
      <c r="AF75" s="97"/>
      <c r="AG75" s="97">
        <f ca="1" xml:space="preserve"> T_SeguroAnual!_Abono_Sobrante</f>
        <v>0</v>
      </c>
      <c r="AH75" s="97">
        <f t="shared" si="11"/>
        <v>0</v>
      </c>
      <c r="AI75"/>
      <c r="AJ75" s="97">
        <f ca="1"/>
        <v>0</v>
      </c>
      <c r="AK75" s="97">
        <f ca="1"/>
        <v>0</v>
      </c>
      <c r="AN75" s="44"/>
      <c r="AO75" s="102"/>
    </row>
    <row r="76" spans="2:41">
      <c r="B76" s="32"/>
      <c r="C76" s="32"/>
      <c r="J76" s="14">
        <v>57</v>
      </c>
      <c r="L76" s="20">
        <f ca="1" xml:space="preserve"> ( _Saldo_Final _Anterior + T_SeguroAnual!_Saldo_Ciclico ) * ( _Stopper_Saldo_Inicial )</f>
        <v>0</v>
      </c>
      <c r="M76" s="96">
        <f ca="1">MIN( CHOOSE(Opcion.Abono, _Capital_Opcion_1, _Capital_Opcion_2, _Capital_Opcion_3) _Actual, _Saldo_Inicial _Actual)</f>
        <v>0</v>
      </c>
      <c r="N76" s="96">
        <f t="shared" ca="1" si="6"/>
        <v>0</v>
      </c>
      <c r="O76" s="97">
        <f>T_AutoYSeguroMulti!_Dias_Interes_Periodo</f>
        <v>30</v>
      </c>
      <c r="P76" s="97">
        <f t="shared" ca="1" si="7"/>
        <v>0</v>
      </c>
      <c r="Q76" s="97">
        <f t="shared" ca="1" si="8"/>
        <v>0</v>
      </c>
      <c r="R76" s="97">
        <f ca="1">IF(TablaCliente!A76="","",IF(T_Merger!L76=0,0,ROUND(+T_Merger!M76+T_Merger!S76+T_Merger!P76+T_Merger!Q76,2)))</f>
        <v>0</v>
      </c>
      <c r="S76" s="310">
        <f>TablaCliente!_CapturaAbonoAnticipadoTablaCliente</f>
        <v>0</v>
      </c>
      <c r="T76" s="97">
        <f t="shared" ca="1" si="9"/>
        <v>0</v>
      </c>
      <c r="V76" t="b">
        <f ca="1">_Saldo_Final _Anterior &gt; 0</f>
        <v>0</v>
      </c>
      <c r="W76" s="116"/>
      <c r="X76" s="97">
        <f ca="1" xml:space="preserve"> T_AutoYSeguroMulti!Pago.Fijo + T_SeguroAnual!_Pago_Fijo</f>
        <v>21149.540739259039</v>
      </c>
      <c r="Y76" s="97">
        <f ca="1" xml:space="preserve"> T_AutoYSeguroMulti!_Capital + T_SeguroAnual!_Capital</f>
        <v>0</v>
      </c>
      <c r="Z76" s="97">
        <f t="shared" ca="1" si="10"/>
        <v>21149.540739259039</v>
      </c>
      <c r="AA76" s="116"/>
      <c r="AB76" s="276">
        <v>0</v>
      </c>
      <c r="AC76"/>
      <c r="AD76" s="97">
        <v>0</v>
      </c>
      <c r="AE76" s="97">
        <v>0</v>
      </c>
      <c r="AF76" s="97"/>
      <c r="AG76" s="97">
        <f ca="1" xml:space="preserve"> T_SeguroAnual!_Abono_Sobrante</f>
        <v>0</v>
      </c>
      <c r="AH76" s="97">
        <f t="shared" si="11"/>
        <v>0</v>
      </c>
      <c r="AI76"/>
      <c r="AJ76" s="97">
        <f ca="1"/>
        <v>0</v>
      </c>
      <c r="AK76" s="97">
        <f ca="1"/>
        <v>0</v>
      </c>
      <c r="AN76" s="44"/>
      <c r="AO76" s="102"/>
    </row>
    <row r="77" spans="2:41">
      <c r="B77" s="32"/>
      <c r="C77" s="32"/>
      <c r="J77" s="14">
        <v>58</v>
      </c>
      <c r="L77" s="20">
        <f ca="1" xml:space="preserve"> ( _Saldo_Final _Anterior + T_SeguroAnual!_Saldo_Ciclico ) * ( _Stopper_Saldo_Inicial )</f>
        <v>0</v>
      </c>
      <c r="M77" s="96">
        <f ca="1">MIN( CHOOSE(Opcion.Abono, _Capital_Opcion_1, _Capital_Opcion_2, _Capital_Opcion_3) _Actual, _Saldo_Inicial _Actual)</f>
        <v>0</v>
      </c>
      <c r="N77" s="96">
        <f t="shared" ca="1" si="6"/>
        <v>0</v>
      </c>
      <c r="O77" s="97">
        <f>T_AutoYSeguroMulti!_Dias_Interes_Periodo</f>
        <v>30</v>
      </c>
      <c r="P77" s="97">
        <f t="shared" ca="1" si="7"/>
        <v>0</v>
      </c>
      <c r="Q77" s="97">
        <f t="shared" ca="1" si="8"/>
        <v>0</v>
      </c>
      <c r="R77" s="97">
        <f ca="1">IF(TablaCliente!A77="","",IF(T_Merger!L77=0,0,ROUND(+T_Merger!M77+T_Merger!S77+T_Merger!P77+T_Merger!Q77,2)))</f>
        <v>0</v>
      </c>
      <c r="S77" s="310">
        <f>TablaCliente!_CapturaAbonoAnticipadoTablaCliente</f>
        <v>0</v>
      </c>
      <c r="T77" s="97">
        <f t="shared" ca="1" si="9"/>
        <v>0</v>
      </c>
      <c r="V77" t="b">
        <f ca="1">_Saldo_Final _Anterior &gt; 0</f>
        <v>0</v>
      </c>
      <c r="W77" s="116"/>
      <c r="X77" s="97">
        <f ca="1" xml:space="preserve"> T_AutoYSeguroMulti!Pago.Fijo + T_SeguroAnual!_Pago_Fijo</f>
        <v>21149.540739259039</v>
      </c>
      <c r="Y77" s="97">
        <f ca="1" xml:space="preserve"> T_AutoYSeguroMulti!_Capital + T_SeguroAnual!_Capital</f>
        <v>0</v>
      </c>
      <c r="Z77" s="97">
        <f t="shared" ca="1" si="10"/>
        <v>21149.540739259039</v>
      </c>
      <c r="AA77" s="116"/>
      <c r="AB77" s="276">
        <v>0</v>
      </c>
      <c r="AC77"/>
      <c r="AD77" s="97">
        <v>0</v>
      </c>
      <c r="AE77" s="97">
        <v>0</v>
      </c>
      <c r="AF77" s="97"/>
      <c r="AG77" s="97">
        <f ca="1" xml:space="preserve"> T_SeguroAnual!_Abono_Sobrante</f>
        <v>0</v>
      </c>
      <c r="AH77" s="97">
        <f t="shared" si="11"/>
        <v>0</v>
      </c>
      <c r="AI77"/>
      <c r="AJ77" s="97">
        <f ca="1"/>
        <v>0</v>
      </c>
      <c r="AK77" s="97">
        <f ca="1"/>
        <v>0</v>
      </c>
      <c r="AN77" s="44"/>
      <c r="AO77" s="102"/>
    </row>
    <row r="78" spans="2:41">
      <c r="B78" s="32"/>
      <c r="C78" s="32"/>
      <c r="J78" s="14">
        <v>59</v>
      </c>
      <c r="L78" s="20">
        <f ca="1" xml:space="preserve"> ( _Saldo_Final _Anterior + T_SeguroAnual!_Saldo_Ciclico ) * ( _Stopper_Saldo_Inicial )</f>
        <v>0</v>
      </c>
      <c r="M78" s="96">
        <f ca="1">MIN( CHOOSE(Opcion.Abono, _Capital_Opcion_1, _Capital_Opcion_2, _Capital_Opcion_3) _Actual, _Saldo_Inicial _Actual)</f>
        <v>0</v>
      </c>
      <c r="N78" s="96">
        <f t="shared" ca="1" si="6"/>
        <v>0</v>
      </c>
      <c r="O78" s="97">
        <f>T_AutoYSeguroMulti!_Dias_Interes_Periodo</f>
        <v>30</v>
      </c>
      <c r="P78" s="97">
        <f t="shared" ca="1" si="7"/>
        <v>0</v>
      </c>
      <c r="Q78" s="97">
        <f t="shared" ca="1" si="8"/>
        <v>0</v>
      </c>
      <c r="R78" s="97">
        <f ca="1">IF(TablaCliente!A78="","",IF(T_Merger!L78=0,0,ROUND(+T_Merger!M78+T_Merger!S78+T_Merger!P78+T_Merger!Q78,2)))</f>
        <v>0</v>
      </c>
      <c r="S78" s="310">
        <f>TablaCliente!_CapturaAbonoAnticipadoTablaCliente</f>
        <v>0</v>
      </c>
      <c r="T78" s="97">
        <f t="shared" ca="1" si="9"/>
        <v>0</v>
      </c>
      <c r="V78" t="b">
        <f ca="1">_Saldo_Final _Anterior &gt; 0</f>
        <v>0</v>
      </c>
      <c r="W78" s="116"/>
      <c r="X78" s="97">
        <f ca="1" xml:space="preserve"> T_AutoYSeguroMulti!Pago.Fijo + T_SeguroAnual!_Pago_Fijo</f>
        <v>21149.540739259039</v>
      </c>
      <c r="Y78" s="97">
        <f ca="1" xml:space="preserve"> T_AutoYSeguroMulti!_Capital + T_SeguroAnual!_Capital</f>
        <v>0</v>
      </c>
      <c r="Z78" s="97">
        <f t="shared" ca="1" si="10"/>
        <v>21149.540739259039</v>
      </c>
      <c r="AA78" s="116"/>
      <c r="AB78" s="276">
        <v>0</v>
      </c>
      <c r="AC78"/>
      <c r="AD78" s="97">
        <v>0</v>
      </c>
      <c r="AE78" s="97">
        <v>0</v>
      </c>
      <c r="AF78" s="97"/>
      <c r="AG78" s="97">
        <f ca="1" xml:space="preserve"> T_SeguroAnual!_Abono_Sobrante</f>
        <v>0</v>
      </c>
      <c r="AH78" s="97">
        <f t="shared" si="11"/>
        <v>0</v>
      </c>
      <c r="AI78"/>
      <c r="AJ78" s="97">
        <f ca="1"/>
        <v>0</v>
      </c>
      <c r="AK78" s="97">
        <f ca="1"/>
        <v>0</v>
      </c>
      <c r="AN78" s="44"/>
      <c r="AO78" s="102"/>
    </row>
    <row r="79" spans="2:41">
      <c r="B79" s="32"/>
      <c r="C79" s="32"/>
      <c r="J79" s="14">
        <v>60</v>
      </c>
      <c r="L79" s="20">
        <f ca="1" xml:space="preserve"> ( _Saldo_Final _Anterior + T_SeguroAnual!_Saldo_Ciclico ) * ( _Stopper_Saldo_Inicial )</f>
        <v>0</v>
      </c>
      <c r="M79" s="96">
        <f ca="1">MIN( CHOOSE(Opcion.Abono, _Capital_Opcion_1, _Capital_Opcion_2, _Capital_Opcion_3) _Actual, _Saldo_Inicial _Actual)</f>
        <v>0</v>
      </c>
      <c r="N79" s="96">
        <f t="shared" ca="1" si="6"/>
        <v>0</v>
      </c>
      <c r="O79" s="97">
        <f>T_AutoYSeguroMulti!_Dias_Interes_Periodo</f>
        <v>30</v>
      </c>
      <c r="P79" s="97">
        <f t="shared" ca="1" si="7"/>
        <v>0</v>
      </c>
      <c r="Q79" s="97">
        <f t="shared" ca="1" si="8"/>
        <v>0</v>
      </c>
      <c r="R79" s="97">
        <f ca="1">IF(TablaCliente!A79="","",IF(T_Merger!L79=0,0,ROUND(+T_Merger!M79+T_Merger!S79+T_Merger!P79+T_Merger!Q79,2)))</f>
        <v>0</v>
      </c>
      <c r="S79" s="310">
        <f>TablaCliente!_CapturaAbonoAnticipadoTablaCliente</f>
        <v>0</v>
      </c>
      <c r="T79" s="97">
        <f t="shared" ca="1" si="9"/>
        <v>0</v>
      </c>
      <c r="V79" t="b">
        <f ca="1">_Saldo_Final _Anterior &gt; 0</f>
        <v>0</v>
      </c>
      <c r="W79" s="116"/>
      <c r="X79" s="97">
        <f ca="1" xml:space="preserve"> T_AutoYSeguroMulti!Pago.Fijo + T_SeguroAnual!_Pago_Fijo</f>
        <v>21149.540739259039</v>
      </c>
      <c r="Y79" s="97">
        <f ca="1" xml:space="preserve"> T_AutoYSeguroMulti!_Capital + T_SeguroAnual!_Capital</f>
        <v>0</v>
      </c>
      <c r="Z79" s="97">
        <f t="shared" ca="1" si="10"/>
        <v>21149.540739259039</v>
      </c>
      <c r="AA79" s="116"/>
      <c r="AB79" s="276">
        <v>0</v>
      </c>
      <c r="AC79"/>
      <c r="AD79" s="97">
        <v>0</v>
      </c>
      <c r="AE79" s="97">
        <v>0</v>
      </c>
      <c r="AF79" s="97"/>
      <c r="AG79" s="97">
        <f ca="1" xml:space="preserve"> T_SeguroAnual!_Abono_Sobrante</f>
        <v>0</v>
      </c>
      <c r="AH79" s="97">
        <f xml:space="preserve"> _Abono_Anticipado</f>
        <v>0</v>
      </c>
      <c r="AI79"/>
      <c r="AJ79" s="97">
        <f ca="1"/>
        <v>0</v>
      </c>
      <c r="AK79" s="97">
        <f ca="1"/>
        <v>0</v>
      </c>
      <c r="AN79" s="44"/>
      <c r="AO79" s="102"/>
    </row>
    <row r="80" spans="2:41">
      <c r="B80" s="32"/>
      <c r="C80" s="32"/>
      <c r="AI80"/>
      <c r="AN80" s="44"/>
      <c r="AO80" s="102"/>
    </row>
    <row r="81" spans="2:41">
      <c r="B81" s="32"/>
      <c r="C81" s="32"/>
      <c r="AI81"/>
      <c r="AN81" s="44"/>
      <c r="AO81" s="102"/>
    </row>
    <row r="82" spans="2:41">
      <c r="B82" s="32"/>
      <c r="C82" s="32"/>
      <c r="AI82"/>
      <c r="AN82" s="44"/>
      <c r="AO82" s="102"/>
    </row>
    <row r="83" spans="2:41">
      <c r="B83" s="32"/>
      <c r="C83" s="32"/>
      <c r="AI83"/>
      <c r="AN83" s="44"/>
      <c r="AO83" s="102"/>
    </row>
    <row r="84" spans="2:41">
      <c r="B84" s="32"/>
      <c r="C84" s="32"/>
      <c r="AI84"/>
      <c r="AN84" s="44"/>
      <c r="AO84" s="102"/>
    </row>
    <row r="85" spans="2:41">
      <c r="B85" s="32"/>
      <c r="C85" s="32"/>
      <c r="AI85"/>
      <c r="AN85" s="44"/>
      <c r="AO85" s="102"/>
    </row>
    <row r="86" spans="2:41">
      <c r="B86" s="32"/>
      <c r="C86" s="32"/>
      <c r="AI86"/>
      <c r="AN86" s="44"/>
      <c r="AO86" s="102"/>
    </row>
    <row r="87" spans="2:41">
      <c r="B87" s="32"/>
      <c r="C87" s="32"/>
      <c r="AI87"/>
      <c r="AN87" s="44"/>
      <c r="AO87" s="102"/>
    </row>
    <row r="88" spans="2:41">
      <c r="B88" s="32"/>
      <c r="C88" s="32"/>
      <c r="AI88"/>
      <c r="AN88" s="44"/>
      <c r="AO88" s="102"/>
    </row>
    <row r="89" spans="2:41">
      <c r="AI89"/>
      <c r="AN89" s="44"/>
      <c r="AO89" s="102"/>
    </row>
    <row r="90" spans="2:41">
      <c r="AI90"/>
      <c r="AN90" s="44"/>
      <c r="AO90" s="102"/>
    </row>
    <row r="91" spans="2:41">
      <c r="AI91"/>
      <c r="AN91" s="44"/>
      <c r="AO91" s="102"/>
    </row>
    <row r="116" spans="38:38">
      <c r="AL116" s="116"/>
    </row>
    <row r="188" spans="38:38">
      <c r="AL188" s="116"/>
    </row>
    <row r="260" spans="38:38">
      <c r="AL260" s="116"/>
    </row>
  </sheetData>
  <mergeCells count="5">
    <mergeCell ref="AJ14:AK14"/>
    <mergeCell ref="AD18:AE18"/>
    <mergeCell ref="X14:Z14"/>
    <mergeCell ref="AD14:AE14"/>
    <mergeCell ref="AG14:AH14"/>
  </mergeCells>
  <phoneticPr fontId="24" type="noConversion"/>
  <conditionalFormatting sqref="AB20:AB79">
    <cfRule type="cellIs" dxfId="3"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15">
    <tabColor theme="4" tint="0.39997558519241921"/>
  </sheetPr>
  <dimension ref="A1:CA279"/>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09" t="s">
        <v>59</v>
      </c>
      <c r="Z14" s="909"/>
      <c r="AA14" s="909"/>
      <c r="AB14" s="909"/>
      <c r="AD14" s="915" t="s">
        <v>72</v>
      </c>
      <c r="AE14" s="916"/>
      <c r="AF14" s="916"/>
      <c r="AG14" s="916"/>
      <c r="AH14" s="917"/>
      <c r="AJ14" s="915" t="s">
        <v>1722</v>
      </c>
      <c r="AK14" s="917"/>
      <c r="AM14" s="909" t="s">
        <v>64</v>
      </c>
      <c r="AN14" s="909"/>
      <c r="AO14" s="909"/>
      <c r="AP14" s="909"/>
      <c r="AQ14" s="909"/>
      <c r="AR14" s="909"/>
      <c r="AS14" s="909"/>
      <c r="AT14"/>
      <c r="AU14" s="915" t="s">
        <v>1727</v>
      </c>
      <c r="AV14" s="916"/>
      <c r="AW14" s="916"/>
      <c r="AX14" s="916"/>
      <c r="AY14" s="916"/>
      <c r="AZ14" s="917"/>
      <c r="BB14" s="915" t="s">
        <v>1713</v>
      </c>
      <c r="BC14" s="916"/>
      <c r="BD14" s="916"/>
      <c r="BE14" s="91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Tablas'!B8 + MontoGtiaExt</f>
        <v>235000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Tablas'!B9</f>
        <v>30</v>
      </c>
      <c r="E18" s="289" t="s">
        <v>55</v>
      </c>
      <c r="F18" s="274">
        <f ca="1" xml:space="preserve"> Tasa.Interes / Dias.En.Año</f>
        <v>3.5833333333333333E-4</v>
      </c>
      <c r="J18" s="44" t="s">
        <v>1710</v>
      </c>
      <c r="M18" s="14"/>
      <c r="N18" s="14"/>
      <c r="O18" s="86">
        <f ca="1">SUM(_Capital)</f>
        <v>235000.00000000003</v>
      </c>
      <c r="P18" s="86"/>
      <c r="Q18" s="86"/>
      <c r="R18" s="86"/>
      <c r="S18" s="86">
        <f ca="1">SUM(_Interes)</f>
        <v>15938.710301585917</v>
      </c>
      <c r="T18" s="86">
        <f ca="1">SUM(_Iva)</f>
        <v>1912.6452361903098</v>
      </c>
      <c r="V18" s="86">
        <f ca="1">SUM(_Abono_Anticipado)</f>
        <v>0</v>
      </c>
      <c r="W18" s="14"/>
      <c r="X18"/>
      <c r="Y18" s="115"/>
      <c r="Z18" s="86">
        <f ca="1">SUM(_Abono_Sobrante) - (SUM(_Abono_Sobrante_Ciclo_Anterior)*Renueva.Abono.Sobrante?)</f>
        <v>0</v>
      </c>
      <c r="AA18" s="86"/>
      <c r="AB18" s="115"/>
      <c r="AE18"/>
      <c r="AR18" s="86">
        <f ca="1">SUM(_Capital_Original)</f>
        <v>235000.00000000003</v>
      </c>
      <c r="AS18" s="86"/>
      <c r="AT18"/>
      <c r="AU18"/>
      <c r="AV18"/>
      <c r="AW18"/>
      <c r="AX18"/>
      <c r="AY18"/>
      <c r="AZ18"/>
      <c r="BC18" s="86"/>
      <c r="BD18" s="86">
        <f ca="1">SUM(_Interes_CAT)</f>
        <v>16780.79363491925</v>
      </c>
      <c r="BF18" s="14"/>
      <c r="BG18" s="14"/>
      <c r="BI18" s="85" t="s">
        <v>81</v>
      </c>
      <c r="BR18" s="14"/>
      <c r="BS18" s="14"/>
      <c r="BT18" s="14"/>
      <c r="BU18" s="14"/>
      <c r="BV18" s="14"/>
      <c r="BY18" s="14"/>
      <c r="BZ18" s="14"/>
      <c r="CA18" s="14"/>
    </row>
    <row r="19" spans="2:79">
      <c r="B19" s="290" t="s">
        <v>1731</v>
      </c>
      <c r="C19" s="291">
        <f ca="1">'Configuración de Tablas'!B10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Tablas'!B11</f>
        <v>12</v>
      </c>
      <c r="E20" s="290" t="s">
        <v>53</v>
      </c>
      <c r="F20" s="116">
        <f ca="1">IF( Tabla.Ciclica.Anual?, Periodos.Por.Año, Numero.Pagos )</f>
        <v>12</v>
      </c>
      <c r="J20" s="14">
        <v>1</v>
      </c>
      <c r="L20" s="97">
        <f ca="1">_Saldo_Ciclico</f>
        <v>235000</v>
      </c>
      <c r="M20" s="97">
        <f ca="1">MIN( CHOOSE(Opcion.Abono, _Capital_Opcion_1, _Capital_Opcion_2, _Capital_Opcion_3) _Actual, _Saldo_Inicial _Actual)</f>
        <v>18320.140739259037</v>
      </c>
      <c r="N20" s="97">
        <f t="shared" ref="N20:N51" ca="1" si="0">_Saldo_Inicial * ( _Amortizacion = Numero.Pagos )</f>
        <v>0</v>
      </c>
      <c r="O20" s="309">
        <f ca="1">MAX( _Capital_Elegida _Actual, _Stopper_Capital _Actual)</f>
        <v>18320.140739259037</v>
      </c>
      <c r="P20" s="118">
        <f t="shared" ref="P20:P51" ca="1" si="1">_Saldo_Inicial * Tasa.Diaria</f>
        <v>84.208333333333329</v>
      </c>
      <c r="Q20" s="118">
        <f t="shared" ref="Q20:Q78" ca="1" si="2" xml:space="preserve"> _Interes_Diario * Dias.Por.Periodo</f>
        <v>2526.25</v>
      </c>
      <c r="R20" s="309">
        <f>Fechas!_Dias_Interes_Pago</f>
        <v>20</v>
      </c>
      <c r="S20" s="20">
        <f t="shared" ref="S20:S51" ca="1" si="3">_Interes_Diario * _Dias_Interes_Periodo</f>
        <v>1684.1666666666665</v>
      </c>
      <c r="T20" s="20">
        <f t="shared" ref="T20:T51" ca="1" si="4">_Interes *Iva.Intereses</f>
        <v>202.09999999999997</v>
      </c>
      <c r="U20" s="20">
        <f t="shared" ref="U20:U51" ca="1" si="5">_Capital + _Interes + _Iva</f>
        <v>20206.407405925704</v>
      </c>
      <c r="V20" s="310">
        <f ca="1">T_Merger!_Salida_Abono_1</f>
        <v>0</v>
      </c>
      <c r="W20" s="20">
        <f t="shared" ref="W20:W51" ca="1" si="6">MAX( _Saldo_Inicial - _Capital-_Abono_Anticipado,0)</f>
        <v>216679.85926074095</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235000</v>
      </c>
      <c r="AK20" s="97">
        <f t="shared" ref="AK20:AK51" ca="1" si="13" xml:space="preserve"> ( Pago.Fijo + ( Pago.Extra.Ciclo.1 * ( _Ciclo = 1 ) ) ) * ( _Amortizacion &lt;= Numero.Pagos )</f>
        <v>21149.540739259039</v>
      </c>
      <c r="AM20" s="20">
        <f ca="1">_Saldo_Ciclico</f>
        <v>235000</v>
      </c>
      <c r="AN20" s="20">
        <f t="shared" ref="AN20:AN51" ca="1" si="14">_Saldo_Inicial_Original * Tasa.Diaria</f>
        <v>84.208333333333329</v>
      </c>
      <c r="AO20" s="20">
        <f t="shared" ref="AO20:AO78" ca="1" si="15">_Interes_Diario_Original * Dias.Por.Periodo</f>
        <v>2526.25</v>
      </c>
      <c r="AP20" s="20">
        <f t="shared" ref="AP20:AP51" ca="1" si="16">_Interes_Diario_Original * _Dias_Interes_Periodo</f>
        <v>1684.1666666666665</v>
      </c>
      <c r="AQ20" s="20">
        <f t="shared" ref="AQ20:AQ51" ca="1" si="17">_Saldo_Inicial_Original * ( _Amortizacion = Numero.Pagos )</f>
        <v>0</v>
      </c>
      <c r="AR20" s="335">
        <f ca="1">MAX( ((( _Pago_Fijo - (_Interes_Regular_Original * (1 + Iva.Intereses)) ))), _Stopper_Capital_Original _Actual )</f>
        <v>18320.140739259037</v>
      </c>
      <c r="AS20" s="97">
        <f ca="1">MAX(_Saldo_Inicial_Original _Actual - _Capital_Original _Actual, 0)</f>
        <v>216679.85926074095</v>
      </c>
      <c r="AT20"/>
      <c r="AU20" s="20">
        <f t="shared" ref="AU20:AU51" ca="1" si="18" xml:space="preserve"> _Capital_Original</f>
        <v>18320.140739259037</v>
      </c>
      <c r="AV20" s="20">
        <f t="shared" ref="AV20:AV51" ca="1" si="19">-PPMT(Tasa.Por.Periodo*(1+Iva.Intereses),1,_Ciclicas_Remanentes,_Saldo_Inicial)</f>
        <v>18320.140739259037</v>
      </c>
      <c r="AW20" s="20">
        <f t="shared" ref="AW20:AW51" ca="1" si="20">-IPMT(Tasa.Diaria.Por.Periodo*(1+Iva.Intereses),1,_Ciclicas_Remanentes,_Saldo_Inicial)</f>
        <v>2829.4</v>
      </c>
      <c r="AX20" s="97">
        <f ca="1">SUM(_Componentes_Pago_Proyectado _Actual)</f>
        <v>21149.540739259039</v>
      </c>
      <c r="AY20" s="335">
        <f t="shared" ref="AY20:AY78" ca="1" si="21">_Pago_Proyectado - ( _Interes_Periodo_Regular * ( 1 + Iva.Intereses ) )</f>
        <v>18320.140739259037</v>
      </c>
      <c r="AZ20" s="335">
        <f t="shared" ref="AZ20:AZ78" ca="1" si="22">_Pago_Fijo - ( _Interes_Periodo_Regular * ( 1 + Iva.Intereses ) )</f>
        <v>18320.140739259037</v>
      </c>
      <c r="BA20" s="111"/>
      <c r="BB20" s="20">
        <f t="shared" ref="BB20:BB51" ca="1" si="23">_Interes_Diario_Original</f>
        <v>84.208333333333329</v>
      </c>
      <c r="BC20" s="309">
        <f t="shared" ref="BC20:BC51" si="24">Dias.Por.Periodo</f>
        <v>30</v>
      </c>
      <c r="BD20" s="20">
        <f t="shared" ref="BD20:BD51" ca="1" si="25">_Interes_Diario_CAT * _Dias_Interes_CAT</f>
        <v>2526.25</v>
      </c>
      <c r="BE20" s="97">
        <f ca="1">( _Capital_Original + _Interes_CAT )  * (_Amortizacion &lt;= Numero.Pagos)</f>
        <v>20846.390739259037</v>
      </c>
      <c r="BF20" s="14"/>
      <c r="BG20" s="14"/>
      <c r="BI20" s="44" t="s">
        <v>126</v>
      </c>
      <c r="BJ20" s="102" t="s">
        <v>127</v>
      </c>
      <c r="BR20" s="14"/>
      <c r="BS20" s="14"/>
      <c r="BT20" s="14"/>
      <c r="BU20" s="14"/>
      <c r="BV20" s="14"/>
      <c r="BY20" s="14"/>
      <c r="BZ20" s="14"/>
      <c r="CA20" s="14"/>
    </row>
    <row r="21" spans="2:79">
      <c r="B21" s="290" t="s">
        <v>1729</v>
      </c>
      <c r="C21" s="294">
        <f ca="1">'Configuración de Tablas'!B12</f>
        <v>0.12</v>
      </c>
      <c r="J21" s="14">
        <v>2</v>
      </c>
      <c r="L21" s="97">
        <f ca="1">MAX( _Saldo_Final _Anterior + _Saldo_Ciclico,0)</f>
        <v>216679.85926074095</v>
      </c>
      <c r="M21" s="97">
        <f ca="1">MIN( CHOOSE(Opcion.Abono, _Capital_Opcion_1, _Capital_Opcion_2, _Capital_Opcion_3) _Actual, _Saldo_Inicial _Actual)</f>
        <v>18540.715233759718</v>
      </c>
      <c r="N21" s="97">
        <f t="shared" ca="1" si="0"/>
        <v>0</v>
      </c>
      <c r="O21" s="309">
        <f ca="1">MAX( _Capital_Elegida _Actual, _Stopper_Capital _Actual)</f>
        <v>18540.715233759718</v>
      </c>
      <c r="P21" s="118">
        <f t="shared" ca="1" si="1"/>
        <v>77.643616235098847</v>
      </c>
      <c r="Q21" s="118">
        <f t="shared" ca="1" si="2"/>
        <v>2329.3084870529656</v>
      </c>
      <c r="R21" s="309">
        <f>Fechas!_Dias_Interes_Pago</f>
        <v>30</v>
      </c>
      <c r="S21" s="20">
        <f t="shared" ca="1" si="3"/>
        <v>2329.3084870529656</v>
      </c>
      <c r="T21" s="20">
        <f t="shared" ca="1" si="4"/>
        <v>279.51701844635585</v>
      </c>
      <c r="U21" s="20">
        <f t="shared" ca="1" si="5"/>
        <v>21149.540739259042</v>
      </c>
      <c r="V21" s="310">
        <f ca="1">T_Merger!_Salida_Abono_1</f>
        <v>0</v>
      </c>
      <c r="W21" s="20">
        <f t="shared" ca="1" si="6"/>
        <v>198139.14402698123</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21149.540739259039</v>
      </c>
      <c r="AM21" s="97">
        <f ca="1">MAX( _Saldo_Final_Original _Anterior + _Saldo_Ciclico, 0)</f>
        <v>216679.85926074095</v>
      </c>
      <c r="AN21" s="20">
        <f t="shared" ca="1" si="14"/>
        <v>77.643616235098847</v>
      </c>
      <c r="AO21" s="20">
        <f t="shared" ca="1" si="15"/>
        <v>2329.3084870529656</v>
      </c>
      <c r="AP21" s="20">
        <f t="shared" ca="1" si="16"/>
        <v>2329.3084870529656</v>
      </c>
      <c r="AQ21" s="20">
        <f t="shared" ca="1" si="17"/>
        <v>0</v>
      </c>
      <c r="AR21" s="335">
        <f ca="1">MAX( ((( _Pago_Fijo - (_Interes_Regular_Original * (1 + Iva.Intereses)) ))), _Stopper_Capital_Original _Actual )</f>
        <v>18540.715233759718</v>
      </c>
      <c r="AS21" s="97">
        <f ca="1">MAX(_Saldo_Inicial_Original _Actual - _Capital_Original _Actual, 0)</f>
        <v>198139.14402698123</v>
      </c>
      <c r="AT21"/>
      <c r="AU21" s="20">
        <f t="shared" ca="1" si="18"/>
        <v>18540.715233759718</v>
      </c>
      <c r="AV21" s="20">
        <f t="shared" ca="1" si="19"/>
        <v>18540.715233759736</v>
      </c>
      <c r="AW21" s="20">
        <f t="shared" ca="1" si="20"/>
        <v>2608.825505499321</v>
      </c>
      <c r="AX21" s="97">
        <f ca="1">IF( AND(_Abono_Anticipado _Anterior = 0, _Ciclicas &lt;&gt; 1 ), _Pago_Proyectado _Anterior, SUM(_Componentes_Pago_Proyectado _Actual))</f>
        <v>21149.540739259039</v>
      </c>
      <c r="AY21" s="335">
        <f t="shared" ca="1" si="21"/>
        <v>18540.715233759718</v>
      </c>
      <c r="AZ21" s="335">
        <f t="shared" ca="1" si="22"/>
        <v>18540.715233759718</v>
      </c>
      <c r="BB21" s="20">
        <f t="shared" ca="1" si="23"/>
        <v>77.643616235098847</v>
      </c>
      <c r="BC21" s="309">
        <f t="shared" si="24"/>
        <v>30</v>
      </c>
      <c r="BD21" s="20">
        <f t="shared" ca="1" si="25"/>
        <v>2329.3084870529656</v>
      </c>
      <c r="BE21" s="97">
        <f t="shared" ref="BE21:BE52" ca="1" si="26">( _Capital_Original + _Interes_CAT - _Saldo_Ciclico)  * (_Amortizacion &lt;= Numero.Pagos)</f>
        <v>20870.023720812685</v>
      </c>
      <c r="BF21" s="14"/>
      <c r="BG21" s="14"/>
      <c r="BI21" s="44" t="s">
        <v>119</v>
      </c>
      <c r="BJ21" s="102" t="s">
        <v>128</v>
      </c>
      <c r="BR21" s="14"/>
      <c r="BS21" s="14"/>
      <c r="BT21" s="14"/>
      <c r="BU21" s="14"/>
      <c r="BV21" s="14"/>
      <c r="BY21" s="14"/>
      <c r="BZ21" s="14"/>
      <c r="CA21" s="14"/>
    </row>
    <row r="22" spans="2:79">
      <c r="B22" s="290" t="s">
        <v>1714</v>
      </c>
      <c r="C22" s="294">
        <f ca="1">'Configuración de Tablas'!B13</f>
        <v>0.129</v>
      </c>
      <c r="E22" s="102" t="s">
        <v>85</v>
      </c>
      <c r="F22" s="20">
        <f ca="1">-PPMT(Tasa.Por.Periodo*(1+Iva.Intereses),1,Periodos.Por.Ciclo,Monto.Financiar)</f>
        <v>18320.140739259037</v>
      </c>
      <c r="J22" s="14">
        <v>3</v>
      </c>
      <c r="L22" s="97">
        <f ca="1">MAX( _Saldo_Final _Anterior + _Saldo_Ciclico,0)</f>
        <v>198139.14402698123</v>
      </c>
      <c r="M22" s="97">
        <f ca="1">MIN( CHOOSE(Opcion.Abono, _Capital_Opcion_1, _Capital_Opcion_2, _Capital_Opcion_3) _Actual, _Saldo_Inicial _Actual)</f>
        <v>18763.945445174184</v>
      </c>
      <c r="N22" s="97">
        <f t="shared" ca="1" si="0"/>
        <v>0</v>
      </c>
      <c r="O22" s="309">
        <f ca="1">MAX( _Capital_Elegida _Actual, _Stopper_Capital _Actual)</f>
        <v>18763.945445174184</v>
      </c>
      <c r="P22" s="118">
        <f t="shared" ca="1" si="1"/>
        <v>70.99985994300161</v>
      </c>
      <c r="Q22" s="118">
        <f t="shared" ca="1" si="2"/>
        <v>2129.9957982900482</v>
      </c>
      <c r="R22" s="309">
        <f>Fechas!_Dias_Interes_Pago</f>
        <v>30</v>
      </c>
      <c r="S22" s="20">
        <f t="shared" ca="1" si="3"/>
        <v>2129.9957982900482</v>
      </c>
      <c r="T22" s="20">
        <f t="shared" ca="1" si="4"/>
        <v>255.59949579480579</v>
      </c>
      <c r="U22" s="20">
        <f t="shared" ca="1" si="5"/>
        <v>21149.540739259039</v>
      </c>
      <c r="V22" s="310">
        <f ca="1">T_Merger!_Salida_Abono_1</f>
        <v>0</v>
      </c>
      <c r="W22" s="20">
        <f t="shared" ca="1" si="6"/>
        <v>179375.19858180705</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21149.540739259039</v>
      </c>
      <c r="AM22" s="97">
        <f ca="1">MAX( _Saldo_Final_Original _Anterior + _Saldo_Ciclico, 0)</f>
        <v>198139.14402698123</v>
      </c>
      <c r="AN22" s="20">
        <f t="shared" ca="1" si="14"/>
        <v>70.99985994300161</v>
      </c>
      <c r="AO22" s="20">
        <f t="shared" ca="1" si="15"/>
        <v>2129.9957982900482</v>
      </c>
      <c r="AP22" s="20">
        <f t="shared" ca="1" si="16"/>
        <v>2129.9957982900482</v>
      </c>
      <c r="AQ22" s="20">
        <f t="shared" ca="1" si="17"/>
        <v>0</v>
      </c>
      <c r="AR22" s="335">
        <f ca="1">MAX( ((( _Pago_Fijo - (_Interes_Regular_Original * (1 + Iva.Intereses)) ))), _Stopper_Capital_Original _Actual )</f>
        <v>18763.945445174184</v>
      </c>
      <c r="AS22" s="97">
        <f ca="1">MAX(_Saldo_Inicial_Original _Actual - _Capital_Original _Actual, 0)</f>
        <v>179375.19858180705</v>
      </c>
      <c r="AT22"/>
      <c r="AU22" s="20">
        <f t="shared" ca="1" si="18"/>
        <v>18763.945445174184</v>
      </c>
      <c r="AV22" s="20">
        <f t="shared" ca="1" si="19"/>
        <v>18763.94544517422</v>
      </c>
      <c r="AW22" s="20">
        <f t="shared" ca="1" si="20"/>
        <v>2385.5952940848542</v>
      </c>
      <c r="AX22" s="97">
        <f ca="1">IF( AND(_Abono_Anticipado _Anterior = 0, _Ciclicas &lt;&gt; 1 ), _Pago_Proyectado _Anterior, SUM(_Componentes_Pago_Proyectado _Actual))</f>
        <v>21149.540739259039</v>
      </c>
      <c r="AY22" s="335">
        <f t="shared" ca="1" si="21"/>
        <v>18763.945445174184</v>
      </c>
      <c r="AZ22" s="335">
        <f t="shared" ca="1" si="22"/>
        <v>18763.945445174184</v>
      </c>
      <c r="BB22" s="20">
        <f t="shared" ca="1" si="23"/>
        <v>70.99985994300161</v>
      </c>
      <c r="BC22" s="309">
        <f t="shared" si="24"/>
        <v>30</v>
      </c>
      <c r="BD22" s="20">
        <f t="shared" ca="1" si="25"/>
        <v>2129.9957982900482</v>
      </c>
      <c r="BE22" s="97">
        <f t="shared" ca="1" si="26"/>
        <v>20893.941243464233</v>
      </c>
      <c r="BF22" s="14"/>
      <c r="BG22" s="14"/>
      <c r="BI22" s="44"/>
      <c r="BJ22" s="102" t="s">
        <v>129</v>
      </c>
      <c r="BR22" s="14"/>
      <c r="BS22" s="14"/>
      <c r="BT22" s="14"/>
      <c r="BU22" s="14"/>
      <c r="BV22" s="14"/>
      <c r="BY22" s="14"/>
      <c r="BZ22" s="14"/>
      <c r="CA22" s="14"/>
    </row>
    <row r="23" spans="2:79">
      <c r="B23" s="290" t="s">
        <v>38</v>
      </c>
      <c r="C23" s="288">
        <f>'Configuración de Tablas'!B14</f>
        <v>360</v>
      </c>
      <c r="E23" s="102" t="s">
        <v>87</v>
      </c>
      <c r="F23" s="20">
        <f ca="1">-IPMT(Tasa.Diaria.Por.Periodo*(1+Iva.Intereses),1,Periodos.Por.Ciclo,Monto.Financiar)</f>
        <v>2829.4</v>
      </c>
      <c r="J23" s="14">
        <v>4</v>
      </c>
      <c r="L23" s="97">
        <f ca="1">MAX( _Saldo_Final _Anterior + _Saldo_Ciclico,0)</f>
        <v>179375.19858180705</v>
      </c>
      <c r="M23" s="97">
        <f ca="1">MIN( CHOOSE(Opcion.Abono, _Capital_Opcion_1, _Capital_Opcion_2, _Capital_Opcion_3) _Actual, _Saldo_Inicial _Actual)</f>
        <v>18989.863348334082</v>
      </c>
      <c r="N23" s="97">
        <f t="shared" ca="1" si="0"/>
        <v>0</v>
      </c>
      <c r="O23" s="309">
        <f ca="1">MAX( _Capital_Elegida _Actual, _Stopper_Capital _Actual)</f>
        <v>18989.863348334082</v>
      </c>
      <c r="P23" s="118">
        <f t="shared" ca="1" si="1"/>
        <v>64.276112825147521</v>
      </c>
      <c r="Q23" s="118">
        <f t="shared" ca="1" si="2"/>
        <v>1928.2833847544257</v>
      </c>
      <c r="R23" s="309">
        <f>Fechas!_Dias_Interes_Pago</f>
        <v>30</v>
      </c>
      <c r="S23" s="20">
        <f t="shared" ca="1" si="3"/>
        <v>1928.2833847544257</v>
      </c>
      <c r="T23" s="20">
        <f t="shared" ca="1" si="4"/>
        <v>231.39400617053107</v>
      </c>
      <c r="U23" s="20">
        <f t="shared" ca="1" si="5"/>
        <v>21149.540739259039</v>
      </c>
      <c r="V23" s="310">
        <f ca="1">T_Merger!_Salida_Abono_1</f>
        <v>0</v>
      </c>
      <c r="W23" s="20">
        <f t="shared" ca="1" si="6"/>
        <v>160385.33523347299</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21149.540739259039</v>
      </c>
      <c r="AM23" s="97">
        <f ca="1">MAX( _Saldo_Final_Original _Anterior + _Saldo_Ciclico, 0)</f>
        <v>179375.19858180705</v>
      </c>
      <c r="AN23" s="20">
        <f t="shared" ca="1" si="14"/>
        <v>64.276112825147521</v>
      </c>
      <c r="AO23" s="20">
        <f t="shared" ca="1" si="15"/>
        <v>1928.2833847544257</v>
      </c>
      <c r="AP23" s="20">
        <f t="shared" ca="1" si="16"/>
        <v>1928.2833847544257</v>
      </c>
      <c r="AQ23" s="20">
        <f t="shared" ca="1" si="17"/>
        <v>0</v>
      </c>
      <c r="AR23" s="335">
        <f ca="1">MAX( ((( _Pago_Fijo - (_Interes_Regular_Original * (1 + Iva.Intereses)) ))), _Stopper_Capital_Original _Actual )</f>
        <v>18989.863348334082</v>
      </c>
      <c r="AS23" s="97">
        <f ca="1">MAX(_Saldo_Inicial_Original _Actual - _Capital_Original _Actual, 0)</f>
        <v>160385.33523347299</v>
      </c>
      <c r="AT23"/>
      <c r="AU23" s="20">
        <f t="shared" ca="1" si="18"/>
        <v>18989.863348334082</v>
      </c>
      <c r="AV23" s="20">
        <f t="shared" ca="1" si="19"/>
        <v>18989.863348334104</v>
      </c>
      <c r="AW23" s="20">
        <f t="shared" ca="1" si="20"/>
        <v>2159.6773909249569</v>
      </c>
      <c r="AX23" s="97">
        <f ca="1">IF( AND(_Abono_Anticipado _Anterior = 0, _Ciclicas &lt;&gt; 1 ), _Pago_Proyectado _Anterior, SUM(_Componentes_Pago_Proyectado _Actual))</f>
        <v>21149.540739259039</v>
      </c>
      <c r="AY23" s="335">
        <f t="shared" ca="1" si="21"/>
        <v>18989.863348334082</v>
      </c>
      <c r="AZ23" s="335">
        <f t="shared" ca="1" si="22"/>
        <v>18989.863348334082</v>
      </c>
      <c r="BB23" s="20">
        <f t="shared" ca="1" si="23"/>
        <v>64.276112825147521</v>
      </c>
      <c r="BC23" s="309">
        <f t="shared" si="24"/>
        <v>30</v>
      </c>
      <c r="BD23" s="20">
        <f t="shared" ca="1" si="25"/>
        <v>1928.2833847544257</v>
      </c>
      <c r="BE23" s="97">
        <f t="shared" ca="1" si="26"/>
        <v>20918.146733088506</v>
      </c>
      <c r="BF23" s="14"/>
      <c r="BG23" s="14"/>
      <c r="BI23" s="44"/>
      <c r="BJ23" s="102" t="s">
        <v>130</v>
      </c>
      <c r="BR23" s="14"/>
      <c r="BS23" s="14"/>
      <c r="BT23" s="14"/>
      <c r="BU23" s="14"/>
      <c r="BV23" s="14"/>
      <c r="BY23" s="14"/>
      <c r="BZ23" s="14"/>
      <c r="CA23" s="14"/>
    </row>
    <row r="24" spans="2:79">
      <c r="B24" s="102" t="s">
        <v>66</v>
      </c>
      <c r="C24" s="331" t="str">
        <f>'Configuración de Tablas'!B15</f>
        <v>Fechas!_Dias_Interes_Pago</v>
      </c>
      <c r="E24" s="99" t="s">
        <v>89</v>
      </c>
      <c r="F24" s="20">
        <f ca="1">SUM(Componentes.Pago.Fijo)</f>
        <v>21149.540739259039</v>
      </c>
      <c r="J24" s="14">
        <v>5</v>
      </c>
      <c r="L24" s="97">
        <f ca="1">MAX( _Saldo_Final _Anterior + _Saldo_Ciclico,0)</f>
        <v>160385.33523347299</v>
      </c>
      <c r="M24" s="97">
        <f ca="1">MIN( CHOOSE(Opcion.Abono, _Capital_Opcion_1, _Capital_Opcion_2, _Capital_Opcion_3) _Actual, _Saldo_Inicial _Actual)</f>
        <v>19218.501303048022</v>
      </c>
      <c r="N24" s="97">
        <f t="shared" ca="1" si="0"/>
        <v>0</v>
      </c>
      <c r="O24" s="309">
        <f ca="1">MAX( _Capital_Elegida _Actual, _Stopper_Capital _Actual)</f>
        <v>19218.501303048022</v>
      </c>
      <c r="P24" s="118">
        <f t="shared" ca="1" si="1"/>
        <v>57.471411791994484</v>
      </c>
      <c r="Q24" s="118">
        <f t="shared" ca="1" si="2"/>
        <v>1724.1423537598346</v>
      </c>
      <c r="R24" s="309">
        <f>Fechas!_Dias_Interes_Pago</f>
        <v>30</v>
      </c>
      <c r="S24" s="20">
        <f t="shared" ca="1" si="3"/>
        <v>1724.1423537598346</v>
      </c>
      <c r="T24" s="20">
        <f t="shared" ca="1" si="4"/>
        <v>206.89708245118015</v>
      </c>
      <c r="U24" s="20">
        <f t="shared" ca="1" si="5"/>
        <v>21149.540739259039</v>
      </c>
      <c r="V24" s="310">
        <f ca="1">T_Merger!_Salida_Abono_1</f>
        <v>0</v>
      </c>
      <c r="W24" s="20">
        <f t="shared" ca="1" si="6"/>
        <v>141166.83393042497</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21149.540739259039</v>
      </c>
      <c r="AM24" s="97">
        <f ca="1">MAX( _Saldo_Final_Original _Anterior + _Saldo_Ciclico, 0)</f>
        <v>160385.33523347299</v>
      </c>
      <c r="AN24" s="20">
        <f t="shared" ca="1" si="14"/>
        <v>57.471411791994484</v>
      </c>
      <c r="AO24" s="20">
        <f t="shared" ca="1" si="15"/>
        <v>1724.1423537598346</v>
      </c>
      <c r="AP24" s="20">
        <f t="shared" ca="1" si="16"/>
        <v>1724.1423537598346</v>
      </c>
      <c r="AQ24" s="20">
        <f t="shared" ca="1" si="17"/>
        <v>0</v>
      </c>
      <c r="AR24" s="335">
        <f ca="1">MAX( ((( _Pago_Fijo - (_Interes_Regular_Original * (1 + Iva.Intereses)) ))), _Stopper_Capital_Original _Actual )</f>
        <v>19218.501303048022</v>
      </c>
      <c r="AS24" s="97">
        <f ca="1">MAX(_Saldo_Inicial_Original _Actual - _Capital_Original _Actual, 0)</f>
        <v>141166.83393042497</v>
      </c>
      <c r="AT24"/>
      <c r="AU24" s="20">
        <f t="shared" ca="1" si="18"/>
        <v>19218.501303048022</v>
      </c>
      <c r="AV24" s="20">
        <f t="shared" ca="1" si="19"/>
        <v>19218.501303048077</v>
      </c>
      <c r="AW24" s="20">
        <f t="shared" ca="1" si="20"/>
        <v>1931.0394362110148</v>
      </c>
      <c r="AX24" s="97">
        <f ca="1">IF( AND(_Abono_Anticipado _Anterior = 0, _Ciclicas &lt;&gt; 1 ), _Pago_Proyectado _Anterior, SUM(_Componentes_Pago_Proyectado _Actual))</f>
        <v>21149.540739259039</v>
      </c>
      <c r="AY24" s="335">
        <f t="shared" ca="1" si="21"/>
        <v>19218.501303048022</v>
      </c>
      <c r="AZ24" s="335">
        <f t="shared" ca="1" si="22"/>
        <v>19218.501303048022</v>
      </c>
      <c r="BB24" s="20">
        <f t="shared" ca="1" si="23"/>
        <v>57.471411791994484</v>
      </c>
      <c r="BC24" s="309">
        <f t="shared" si="24"/>
        <v>30</v>
      </c>
      <c r="BD24" s="20">
        <f t="shared" ca="1" si="25"/>
        <v>1724.1423537598346</v>
      </c>
      <c r="BE24" s="97">
        <f t="shared" ca="1" si="26"/>
        <v>20942.643656807857</v>
      </c>
      <c r="BF24" s="14"/>
      <c r="BG24" s="14"/>
      <c r="BI24" s="44"/>
      <c r="BJ24" s="102" t="s">
        <v>131</v>
      </c>
      <c r="BR24" s="14"/>
      <c r="BS24" s="14"/>
      <c r="BT24" s="14"/>
      <c r="BU24" s="14"/>
      <c r="BV24" s="14"/>
      <c r="BY24" s="14"/>
      <c r="BZ24" s="14"/>
      <c r="CA24" s="14"/>
    </row>
    <row r="25" spans="2:79">
      <c r="B25" s="102" t="s">
        <v>67</v>
      </c>
      <c r="C25" s="295" t="b">
        <f>'Configuración de Tablas'!B16</f>
        <v>0</v>
      </c>
      <c r="J25" s="14">
        <v>6</v>
      </c>
      <c r="L25" s="97">
        <f ca="1">MAX( _Saldo_Final _Anterior + _Saldo_Ciclico,0)</f>
        <v>141166.83393042497</v>
      </c>
      <c r="M25" s="97">
        <f ca="1">MIN( CHOOSE(Opcion.Abono, _Capital_Opcion_1, _Capital_Opcion_2, _Capital_Opcion_3) _Actual, _Saldo_Inicial _Actual)</f>
        <v>19449.892058736721</v>
      </c>
      <c r="N25" s="97">
        <f t="shared" ca="1" si="0"/>
        <v>0</v>
      </c>
      <c r="O25" s="309">
        <f ca="1">MAX( _Capital_Elegida _Actual, _Stopper_Capital _Actual)</f>
        <v>19449.892058736721</v>
      </c>
      <c r="P25" s="118">
        <f t="shared" ca="1" si="1"/>
        <v>50.584782158402277</v>
      </c>
      <c r="Q25" s="118">
        <f t="shared" ca="1" si="2"/>
        <v>1517.5434647520683</v>
      </c>
      <c r="R25" s="309">
        <f>Fechas!_Dias_Interes_Pago</f>
        <v>30</v>
      </c>
      <c r="S25" s="20">
        <f t="shared" ca="1" si="3"/>
        <v>1517.5434647520683</v>
      </c>
      <c r="T25" s="20">
        <f t="shared" ca="1" si="4"/>
        <v>182.10521577024818</v>
      </c>
      <c r="U25" s="20">
        <f t="shared" ca="1" si="5"/>
        <v>21149.540739259035</v>
      </c>
      <c r="V25" s="310">
        <f ca="1">T_Merger!_Salida_Abono_1</f>
        <v>0</v>
      </c>
      <c r="W25" s="20">
        <f t="shared" ca="1" si="6"/>
        <v>121716.94187168825</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21149.540739259039</v>
      </c>
      <c r="AM25" s="97">
        <f ca="1">MAX( _Saldo_Final_Original _Anterior + _Saldo_Ciclico, 0)</f>
        <v>141166.83393042497</v>
      </c>
      <c r="AN25" s="20">
        <f t="shared" ca="1" si="14"/>
        <v>50.584782158402277</v>
      </c>
      <c r="AO25" s="20">
        <f t="shared" ca="1" si="15"/>
        <v>1517.5434647520683</v>
      </c>
      <c r="AP25" s="20">
        <f t="shared" ca="1" si="16"/>
        <v>1517.5434647520683</v>
      </c>
      <c r="AQ25" s="20">
        <f t="shared" ca="1" si="17"/>
        <v>0</v>
      </c>
      <c r="AR25" s="335">
        <f ca="1">MAX( ((( _Pago_Fijo - (_Interes_Regular_Original * (1 + Iva.Intereses)) ))), _Stopper_Capital_Original _Actual )</f>
        <v>19449.892058736721</v>
      </c>
      <c r="AS25" s="97">
        <f ca="1">MAX(_Saldo_Inicial_Original _Actual - _Capital_Original _Actual, 0)</f>
        <v>121716.94187168825</v>
      </c>
      <c r="AT25"/>
      <c r="AU25" s="20">
        <f t="shared" ca="1" si="18"/>
        <v>19449.892058736721</v>
      </c>
      <c r="AV25" s="20">
        <f t="shared" ca="1" si="19"/>
        <v>19449.892058736812</v>
      </c>
      <c r="AW25" s="20">
        <f t="shared" ca="1" si="20"/>
        <v>1699.6486805223167</v>
      </c>
      <c r="AX25" s="97">
        <f ca="1">IF( AND(_Abono_Anticipado _Anterior = 0, _Ciclicas &lt;&gt; 1 ), _Pago_Proyectado _Anterior, SUM(_Componentes_Pago_Proyectado _Actual))</f>
        <v>21149.540739259039</v>
      </c>
      <c r="AY25" s="335">
        <f t="shared" ca="1" si="21"/>
        <v>19449.892058736721</v>
      </c>
      <c r="AZ25" s="335">
        <f t="shared" ca="1" si="22"/>
        <v>19449.892058736721</v>
      </c>
      <c r="BB25" s="20">
        <f t="shared" ca="1" si="23"/>
        <v>50.584782158402277</v>
      </c>
      <c r="BC25" s="309">
        <f t="shared" si="24"/>
        <v>30</v>
      </c>
      <c r="BD25" s="20">
        <f t="shared" ca="1" si="25"/>
        <v>1517.5434647520683</v>
      </c>
      <c r="BE25" s="97">
        <f t="shared" ca="1" si="26"/>
        <v>20967.435523488788</v>
      </c>
      <c r="BF25" s="14"/>
      <c r="BG25" s="14"/>
      <c r="BI25" s="44"/>
      <c r="BJ25" s="102" t="s">
        <v>132</v>
      </c>
      <c r="BR25" s="14"/>
      <c r="BS25" s="14"/>
      <c r="BT25" s="14"/>
      <c r="BU25" s="14"/>
      <c r="BV25" s="14"/>
      <c r="BY25" s="14"/>
      <c r="BZ25" s="14"/>
      <c r="CA25" s="14"/>
    </row>
    <row r="26" spans="2:79">
      <c r="B26" s="102" t="s">
        <v>134</v>
      </c>
      <c r="C26" s="288">
        <f ca="1">'Configuración de Tablas'!B17</f>
        <v>308.58823125000004</v>
      </c>
      <c r="E26" s="102" t="s">
        <v>91</v>
      </c>
      <c r="F26" s="20">
        <f ca="1">-PPMT(Tasa.Por.Periodo*(1+Iva.Intereses),1,Periodos.Por.Ciclo,Monto.Extra.Ciclo.1)</f>
        <v>0</v>
      </c>
      <c r="J26" s="14">
        <v>7</v>
      </c>
      <c r="L26" s="97">
        <f ca="1">MAX( _Saldo_Final _Anterior + _Saldo_Ciclico,0)</f>
        <v>121716.94187168825</v>
      </c>
      <c r="M26" s="97">
        <f ca="1">MIN( CHOOSE(Opcion.Abono, _Capital_Opcion_1, _Capital_Opcion_2, _Capital_Opcion_3) _Actual, _Saldo_Inicial _Actual)</f>
        <v>19684.068759123911</v>
      </c>
      <c r="N26" s="97">
        <f t="shared" ca="1" si="0"/>
        <v>0</v>
      </c>
      <c r="O26" s="309">
        <f ca="1">MAX( _Capital_Elegida _Actual, _Stopper_Capital _Actual)</f>
        <v>19684.068759123911</v>
      </c>
      <c r="P26" s="118">
        <f t="shared" ca="1" si="1"/>
        <v>43.615237504021621</v>
      </c>
      <c r="Q26" s="118">
        <f t="shared" ca="1" si="2"/>
        <v>1308.4571251206487</v>
      </c>
      <c r="R26" s="309">
        <f>Fechas!_Dias_Interes_Pago</f>
        <v>30</v>
      </c>
      <c r="S26" s="20">
        <f t="shared" ca="1" si="3"/>
        <v>1308.4571251206487</v>
      </c>
      <c r="T26" s="20">
        <f t="shared" ca="1" si="4"/>
        <v>157.01485501447783</v>
      </c>
      <c r="U26" s="20">
        <f t="shared" ca="1" si="5"/>
        <v>21149.540739259035</v>
      </c>
      <c r="V26" s="310">
        <f ca="1">T_Merger!_Salida_Abono_1</f>
        <v>0</v>
      </c>
      <c r="W26" s="20">
        <f t="shared" ca="1" si="6"/>
        <v>102032.87311256434</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21149.540739259039</v>
      </c>
      <c r="AM26" s="97">
        <f ca="1">MAX( _Saldo_Final_Original _Anterior + _Saldo_Ciclico, 0)</f>
        <v>121716.94187168825</v>
      </c>
      <c r="AN26" s="20">
        <f t="shared" ca="1" si="14"/>
        <v>43.615237504021621</v>
      </c>
      <c r="AO26" s="20">
        <f t="shared" ca="1" si="15"/>
        <v>1308.4571251206487</v>
      </c>
      <c r="AP26" s="20">
        <f t="shared" ca="1" si="16"/>
        <v>1308.4571251206487</v>
      </c>
      <c r="AQ26" s="20">
        <f t="shared" ca="1" si="17"/>
        <v>0</v>
      </c>
      <c r="AR26" s="335">
        <f ca="1">MAX( ((( _Pago_Fijo - (_Interes_Regular_Original * (1 + Iva.Intereses)) ))), _Stopper_Capital_Original _Actual )</f>
        <v>19684.068759123911</v>
      </c>
      <c r="AS26" s="97">
        <f ca="1">MAX(_Saldo_Inicial_Original _Actual - _Capital_Original _Actual, 0)</f>
        <v>102032.87311256434</v>
      </c>
      <c r="AT26"/>
      <c r="AU26" s="20">
        <f t="shared" ca="1" si="18"/>
        <v>19684.068759123911</v>
      </c>
      <c r="AV26" s="20">
        <f t="shared" ca="1" si="19"/>
        <v>19684.06875912398</v>
      </c>
      <c r="AW26" s="20">
        <f t="shared" ca="1" si="20"/>
        <v>1465.4719801351266</v>
      </c>
      <c r="AX26" s="97">
        <f ca="1">IF( AND(_Abono_Anticipado _Anterior = 0, _Ciclicas &lt;&gt; 1 ), _Pago_Proyectado _Anterior, SUM(_Componentes_Pago_Proyectado _Actual))</f>
        <v>21149.540739259039</v>
      </c>
      <c r="AY26" s="335">
        <f t="shared" ca="1" si="21"/>
        <v>19684.068759123911</v>
      </c>
      <c r="AZ26" s="335">
        <f t="shared" ca="1" si="22"/>
        <v>19684.068759123911</v>
      </c>
      <c r="BB26" s="20">
        <f t="shared" ca="1" si="23"/>
        <v>43.615237504021621</v>
      </c>
      <c r="BC26" s="309">
        <f t="shared" si="24"/>
        <v>30</v>
      </c>
      <c r="BD26" s="20">
        <f t="shared" ca="1" si="25"/>
        <v>1308.4571251206487</v>
      </c>
      <c r="BE26" s="97">
        <f t="shared" ca="1" si="26"/>
        <v>20992.525884244558</v>
      </c>
      <c r="BF26" s="14"/>
      <c r="BG26" s="14"/>
      <c r="BI26" s="44"/>
      <c r="BJ26" s="102" t="s">
        <v>133</v>
      </c>
      <c r="BR26" s="14"/>
      <c r="BS26" s="14"/>
      <c r="BT26" s="14"/>
      <c r="BU26" s="14"/>
      <c r="BV26" s="14"/>
      <c r="BY26" s="14"/>
      <c r="BZ26" s="14"/>
      <c r="CA26" s="14"/>
    </row>
    <row r="27" spans="2:79">
      <c r="B27" s="290" t="s">
        <v>1725</v>
      </c>
      <c r="C27" s="288">
        <f ca="1">'Configuración de Tablas'!B18</f>
        <v>1</v>
      </c>
      <c r="E27" s="102" t="s">
        <v>92</v>
      </c>
      <c r="F27" s="20">
        <f ca="1">-IPMT(Tasa.Diaria.Por.Periodo*(1+Iva.Intereses),1,Periodos.Por.Ciclo,Monto.Extra.Ciclo.1)</f>
        <v>0</v>
      </c>
      <c r="J27" s="14">
        <v>8</v>
      </c>
      <c r="L27" s="97">
        <f ca="1">MAX( _Saldo_Final _Anterior + _Saldo_Ciclico,0)</f>
        <v>102032.87311256434</v>
      </c>
      <c r="M27" s="97">
        <f ca="1">MIN( CHOOSE(Opcion.Abono, _Capital_Opcion_1, _Capital_Opcion_2, _Capital_Opcion_3) _Actual, _Saldo_Inicial _Actual)</f>
        <v>19921.064946983763</v>
      </c>
      <c r="N27" s="97">
        <f t="shared" ca="1" si="0"/>
        <v>0</v>
      </c>
      <c r="O27" s="309">
        <f ca="1">MAX( _Capital_Elegida _Actual, _Stopper_Capital _Actual)</f>
        <v>19921.064946983763</v>
      </c>
      <c r="P27" s="118">
        <f t="shared" ca="1" si="1"/>
        <v>36.56177953200222</v>
      </c>
      <c r="Q27" s="118">
        <f t="shared" ca="1" si="2"/>
        <v>1096.8533859600666</v>
      </c>
      <c r="R27" s="309">
        <f>Fechas!_Dias_Interes_Pago</f>
        <v>30</v>
      </c>
      <c r="S27" s="20">
        <f t="shared" ca="1" si="3"/>
        <v>1096.8533859600666</v>
      </c>
      <c r="T27" s="20">
        <f t="shared" ca="1" si="4"/>
        <v>131.622406315208</v>
      </c>
      <c r="U27" s="20">
        <f t="shared" ca="1" si="5"/>
        <v>21149.540739259039</v>
      </c>
      <c r="V27" s="310">
        <f ca="1">T_Merger!_Salida_Abono_1</f>
        <v>0</v>
      </c>
      <c r="W27" s="20">
        <f t="shared" ca="1" si="6"/>
        <v>82111.808165580573</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21149.540739259039</v>
      </c>
      <c r="AM27" s="97">
        <f ca="1">MAX( _Saldo_Final_Original _Anterior + _Saldo_Ciclico, 0)</f>
        <v>102032.87311256434</v>
      </c>
      <c r="AN27" s="20">
        <f t="shared" ca="1" si="14"/>
        <v>36.56177953200222</v>
      </c>
      <c r="AO27" s="20">
        <f t="shared" ca="1" si="15"/>
        <v>1096.8533859600666</v>
      </c>
      <c r="AP27" s="20">
        <f t="shared" ca="1" si="16"/>
        <v>1096.8533859600666</v>
      </c>
      <c r="AQ27" s="20">
        <f t="shared" ca="1" si="17"/>
        <v>0</v>
      </c>
      <c r="AR27" s="335">
        <f ca="1">MAX( ((( _Pago_Fijo - (_Interes_Regular_Original * (1 + Iva.Intereses)) ))), _Stopper_Capital_Original _Actual )</f>
        <v>19921.064946983763</v>
      </c>
      <c r="AS27" s="97">
        <f ca="1">MAX(_Saldo_Inicial_Original _Actual - _Capital_Original _Actual, 0)</f>
        <v>82111.808165580573</v>
      </c>
      <c r="AT27"/>
      <c r="AU27" s="20">
        <f t="shared" ca="1" si="18"/>
        <v>19921.064946983763</v>
      </c>
      <c r="AV27" s="20">
        <f t="shared" ca="1" si="19"/>
        <v>19921.064946983912</v>
      </c>
      <c r="AW27" s="20">
        <f t="shared" ca="1" si="20"/>
        <v>1228.4757922752747</v>
      </c>
      <c r="AX27" s="97">
        <f ca="1">IF( AND(_Abono_Anticipado _Anterior = 0, _Ciclicas &lt;&gt; 1 ), _Pago_Proyectado _Anterior, SUM(_Componentes_Pago_Proyectado _Actual))</f>
        <v>21149.540739259039</v>
      </c>
      <c r="AY27" s="335">
        <f t="shared" ca="1" si="21"/>
        <v>19921.064946983763</v>
      </c>
      <c r="AZ27" s="335">
        <f t="shared" ca="1" si="22"/>
        <v>19921.064946983763</v>
      </c>
      <c r="BB27" s="20">
        <f t="shared" ca="1" si="23"/>
        <v>36.56177953200222</v>
      </c>
      <c r="BC27" s="309">
        <f t="shared" si="24"/>
        <v>30</v>
      </c>
      <c r="BD27" s="20">
        <f t="shared" ca="1" si="25"/>
        <v>1096.8533859600666</v>
      </c>
      <c r="BE27" s="97">
        <f t="shared" ca="1" si="26"/>
        <v>21017.918332943831</v>
      </c>
      <c r="BF27" s="14"/>
      <c r="BG27" s="14"/>
      <c r="BI27" s="44" t="s">
        <v>117</v>
      </c>
      <c r="BJ27" s="102" t="s">
        <v>135</v>
      </c>
      <c r="BR27" s="14"/>
      <c r="BS27" s="14"/>
      <c r="BT27" s="14"/>
      <c r="BU27" s="14"/>
      <c r="BV27" s="14"/>
      <c r="BY27" s="14"/>
      <c r="BZ27" s="14"/>
      <c r="CA27" s="14"/>
    </row>
    <row r="28" spans="2:79">
      <c r="B28" s="102" t="s">
        <v>137</v>
      </c>
      <c r="C28" s="336" t="str">
        <f>'Configuración de Tablas'!B19</f>
        <v>T_Merger!_Salida_Abono_1</v>
      </c>
      <c r="E28" s="99" t="s">
        <v>93</v>
      </c>
      <c r="F28" s="20">
        <f ca="1">SUM(Componentes.Pago.Fijo.Inicial)</f>
        <v>0</v>
      </c>
      <c r="J28" s="14">
        <v>9</v>
      </c>
      <c r="L28" s="97">
        <f ca="1">MAX( _Saldo_Final _Anterior + _Saldo_Ciclico,0)</f>
        <v>82111.808165580573</v>
      </c>
      <c r="M28" s="97">
        <f ca="1">MIN( CHOOSE(Opcion.Abono, _Capital_Opcion_1, _Capital_Opcion_2, _Capital_Opcion_3) _Actual, _Saldo_Inicial _Actual)</f>
        <v>20160.914568945449</v>
      </c>
      <c r="N28" s="97">
        <f t="shared" ca="1" si="0"/>
        <v>0</v>
      </c>
      <c r="O28" s="309">
        <f ca="1">MAX( _Capital_Elegida _Actual, _Stopper_Capital _Actual)</f>
        <v>20160.914568945449</v>
      </c>
      <c r="P28" s="118">
        <f t="shared" ca="1" si="1"/>
        <v>29.423397925999705</v>
      </c>
      <c r="Q28" s="118">
        <f t="shared" ca="1" si="2"/>
        <v>882.70193777999111</v>
      </c>
      <c r="R28" s="309">
        <f>Fechas!_Dias_Interes_Pago</f>
        <v>30</v>
      </c>
      <c r="S28" s="20">
        <f t="shared" ca="1" si="3"/>
        <v>882.70193777999111</v>
      </c>
      <c r="T28" s="20">
        <f t="shared" ca="1" si="4"/>
        <v>105.92423253359892</v>
      </c>
      <c r="U28" s="20">
        <f t="shared" ca="1" si="5"/>
        <v>21149.540739259039</v>
      </c>
      <c r="V28" s="310">
        <f ca="1">T_Merger!_Salida_Abono_1</f>
        <v>0</v>
      </c>
      <c r="W28" s="20">
        <f t="shared" ca="1" si="6"/>
        <v>61950.893596635127</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21149.540739259039</v>
      </c>
      <c r="AM28" s="97">
        <f ca="1">MAX( _Saldo_Final_Original _Anterior + _Saldo_Ciclico, 0)</f>
        <v>82111.808165580573</v>
      </c>
      <c r="AN28" s="20">
        <f t="shared" ca="1" si="14"/>
        <v>29.423397925999705</v>
      </c>
      <c r="AO28" s="20">
        <f t="shared" ca="1" si="15"/>
        <v>882.70193777999111</v>
      </c>
      <c r="AP28" s="20">
        <f t="shared" ca="1" si="16"/>
        <v>882.70193777999111</v>
      </c>
      <c r="AQ28" s="20">
        <f t="shared" ca="1" si="17"/>
        <v>0</v>
      </c>
      <c r="AR28" s="335">
        <f ca="1">MAX( ((( _Pago_Fijo - (_Interes_Regular_Original * (1 + Iva.Intereses)) ))), _Stopper_Capital_Original _Actual )</f>
        <v>20160.914568945449</v>
      </c>
      <c r="AS28" s="97">
        <f ca="1">MAX(_Saldo_Inicial_Original _Actual - _Capital_Original _Actual, 0)</f>
        <v>61950.893596635127</v>
      </c>
      <c r="AT28"/>
      <c r="AU28" s="20">
        <f t="shared" ca="1" si="18"/>
        <v>20160.914568945449</v>
      </c>
      <c r="AV28" s="20">
        <f t="shared" ca="1" si="19"/>
        <v>20160.914568945624</v>
      </c>
      <c r="AW28" s="20">
        <f t="shared" ca="1" si="20"/>
        <v>988.62617031359014</v>
      </c>
      <c r="AX28" s="97">
        <f ca="1">IF( AND(_Abono_Anticipado _Anterior = 0, _Ciclicas &lt;&gt; 1 ), _Pago_Proyectado _Anterior, SUM(_Componentes_Pago_Proyectado _Actual))</f>
        <v>21149.540739259039</v>
      </c>
      <c r="AY28" s="335">
        <f t="shared" ca="1" si="21"/>
        <v>20160.914568945449</v>
      </c>
      <c r="AZ28" s="335">
        <f t="shared" ca="1" si="22"/>
        <v>20160.914568945449</v>
      </c>
      <c r="BB28" s="20">
        <f t="shared" ca="1" si="23"/>
        <v>29.423397925999705</v>
      </c>
      <c r="BC28" s="309">
        <f t="shared" si="24"/>
        <v>30</v>
      </c>
      <c r="BD28" s="20">
        <f t="shared" ca="1" si="25"/>
        <v>882.70193777999111</v>
      </c>
      <c r="BE28" s="97">
        <f t="shared" ca="1" si="26"/>
        <v>21043.616506725441</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Tablas'!B20</f>
        <v>-</v>
      </c>
      <c r="J29" s="14">
        <v>10</v>
      </c>
      <c r="L29" s="97">
        <f ca="1">MAX( _Saldo_Final _Anterior + _Saldo_Ciclico,0)</f>
        <v>61950.893596635127</v>
      </c>
      <c r="M29" s="97">
        <f ca="1">MIN( CHOOSE(Opcion.Abono, _Capital_Opcion_1, _Capital_Opcion_2, _Capital_Opcion_3) _Actual, _Saldo_Inicial _Actual)</f>
        <v>20403.651980355553</v>
      </c>
      <c r="N29" s="97">
        <f t="shared" ca="1" si="0"/>
        <v>0</v>
      </c>
      <c r="O29" s="309">
        <f ca="1">MAX( _Capital_Elegida _Actual, _Stopper_Capital _Actual)</f>
        <v>20403.651980355553</v>
      </c>
      <c r="P29" s="118">
        <f t="shared" ca="1" si="1"/>
        <v>22.19907020546092</v>
      </c>
      <c r="Q29" s="118">
        <f t="shared" ca="1" si="2"/>
        <v>665.97210616382756</v>
      </c>
      <c r="R29" s="309">
        <f>Fechas!_Dias_Interes_Pago</f>
        <v>30</v>
      </c>
      <c r="S29" s="20">
        <f t="shared" ca="1" si="3"/>
        <v>665.97210616382756</v>
      </c>
      <c r="T29" s="20">
        <f t="shared" ca="1" si="4"/>
        <v>79.916652739659298</v>
      </c>
      <c r="U29" s="20">
        <f t="shared" ca="1" si="5"/>
        <v>21149.540739259039</v>
      </c>
      <c r="V29" s="310">
        <f ca="1">T_Merger!_Salida_Abono_1</f>
        <v>0</v>
      </c>
      <c r="W29" s="20">
        <f t="shared" ca="1" si="6"/>
        <v>41547.241616279571</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21149.540739259039</v>
      </c>
      <c r="AM29" s="97">
        <f ca="1">MAX( _Saldo_Final_Original _Anterior + _Saldo_Ciclico, 0)</f>
        <v>61950.893596635127</v>
      </c>
      <c r="AN29" s="20">
        <f t="shared" ca="1" si="14"/>
        <v>22.19907020546092</v>
      </c>
      <c r="AO29" s="20">
        <f t="shared" ca="1" si="15"/>
        <v>665.97210616382756</v>
      </c>
      <c r="AP29" s="20">
        <f t="shared" ca="1" si="16"/>
        <v>665.97210616382756</v>
      </c>
      <c r="AQ29" s="20">
        <f t="shared" ca="1" si="17"/>
        <v>0</v>
      </c>
      <c r="AR29" s="335">
        <f ca="1">MAX( ((( _Pago_Fijo - (_Interes_Regular_Original * (1 + Iva.Intereses)) ))), _Stopper_Capital_Original _Actual )</f>
        <v>20403.651980355553</v>
      </c>
      <c r="AS29" s="97">
        <f ca="1">MAX(_Saldo_Inicial_Original _Actual - _Capital_Original _Actual, 0)</f>
        <v>41547.241616279571</v>
      </c>
      <c r="AT29"/>
      <c r="AU29" s="20">
        <f t="shared" ca="1" si="18"/>
        <v>20403.651980355553</v>
      </c>
      <c r="AV29" s="20">
        <f t="shared" ca="1" si="19"/>
        <v>20403.651980355877</v>
      </c>
      <c r="AW29" s="20">
        <f t="shared" ca="1" si="20"/>
        <v>745.88875890348697</v>
      </c>
      <c r="AX29" s="97">
        <f ca="1">IF( AND(_Abono_Anticipado _Anterior = 0, _Ciclicas &lt;&gt; 1 ), _Pago_Proyectado _Anterior, SUM(_Componentes_Pago_Proyectado _Actual))</f>
        <v>21149.540739259039</v>
      </c>
      <c r="AY29" s="335">
        <f t="shared" ca="1" si="21"/>
        <v>20403.651980355553</v>
      </c>
      <c r="AZ29" s="335">
        <f t="shared" ca="1" si="22"/>
        <v>20403.651980355553</v>
      </c>
      <c r="BB29" s="20">
        <f t="shared" ca="1" si="23"/>
        <v>22.19907020546092</v>
      </c>
      <c r="BC29" s="309">
        <f t="shared" si="24"/>
        <v>30</v>
      </c>
      <c r="BD29" s="20">
        <f t="shared" ca="1" si="25"/>
        <v>665.97210616382756</v>
      </c>
      <c r="BE29" s="97">
        <f t="shared" ca="1" si="26"/>
        <v>21069.624086519379</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41547.241616279571</v>
      </c>
      <c r="M30" s="97">
        <f ca="1">MIN( CHOOSE(Opcion.Abono, _Capital_Opcion_1, _Capital_Opcion_2, _Capital_Opcion_3) _Actual, _Saldo_Inicial _Actual)</f>
        <v>20649.311950199033</v>
      </c>
      <c r="N30" s="97">
        <f t="shared" ca="1" si="0"/>
        <v>0</v>
      </c>
      <c r="O30" s="309">
        <f ca="1">MAX( _Capital_Elegida _Actual, _Stopper_Capital _Actual)</f>
        <v>20649.311950199033</v>
      </c>
      <c r="P30" s="118">
        <f t="shared" ca="1" si="1"/>
        <v>14.887761579166845</v>
      </c>
      <c r="Q30" s="118">
        <f t="shared" ca="1" si="2"/>
        <v>446.63284737500538</v>
      </c>
      <c r="R30" s="309">
        <f>Fechas!_Dias_Interes_Pago</f>
        <v>30</v>
      </c>
      <c r="S30" s="20">
        <f t="shared" ca="1" si="3"/>
        <v>446.63284737500538</v>
      </c>
      <c r="T30" s="20">
        <f t="shared" ca="1" si="4"/>
        <v>53.595941685000646</v>
      </c>
      <c r="U30" s="20">
        <f t="shared" ca="1" si="5"/>
        <v>21149.540739259039</v>
      </c>
      <c r="V30" s="310">
        <f ca="1">T_Merger!_Salida_Abono_1</f>
        <v>0</v>
      </c>
      <c r="W30" s="20">
        <f t="shared" ca="1" si="6"/>
        <v>20897.929666080538</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21149.540739259039</v>
      </c>
      <c r="AM30" s="97">
        <f ca="1">MAX( _Saldo_Final_Original _Anterior + _Saldo_Ciclico, 0)</f>
        <v>41547.241616279571</v>
      </c>
      <c r="AN30" s="20">
        <f t="shared" ca="1" si="14"/>
        <v>14.887761579166845</v>
      </c>
      <c r="AO30" s="20">
        <f t="shared" ca="1" si="15"/>
        <v>446.63284737500538</v>
      </c>
      <c r="AP30" s="20">
        <f t="shared" ca="1" si="16"/>
        <v>446.63284737500538</v>
      </c>
      <c r="AQ30" s="20">
        <f t="shared" ca="1" si="17"/>
        <v>0</v>
      </c>
      <c r="AR30" s="335">
        <f ca="1">MAX( ((( _Pago_Fijo - (_Interes_Regular_Original * (1 + Iva.Intereses)) ))), _Stopper_Capital_Original _Actual )</f>
        <v>20649.311950199033</v>
      </c>
      <c r="AS30" s="97">
        <f ca="1">MAX(_Saldo_Inicial_Original _Actual - _Capital_Original _Actual, 0)</f>
        <v>20897.929666080538</v>
      </c>
      <c r="AT30"/>
      <c r="AU30" s="20">
        <f t="shared" ca="1" si="18"/>
        <v>20649.311950199033</v>
      </c>
      <c r="AV30" s="20">
        <f t="shared" ca="1" si="19"/>
        <v>20649.31195019951</v>
      </c>
      <c r="AW30" s="20">
        <f t="shared" ca="1" si="20"/>
        <v>500.22878906000602</v>
      </c>
      <c r="AX30" s="97">
        <f ca="1">IF( AND(_Abono_Anticipado _Anterior = 0, _Ciclicas &lt;&gt; 1 ), _Pago_Proyectado _Anterior, SUM(_Componentes_Pago_Proyectado _Actual))</f>
        <v>21149.540739259039</v>
      </c>
      <c r="AY30" s="335">
        <f t="shared" ca="1" si="21"/>
        <v>20649.311950199033</v>
      </c>
      <c r="AZ30" s="335">
        <f t="shared" ca="1" si="22"/>
        <v>20649.311950199033</v>
      </c>
      <c r="BB30" s="20">
        <f t="shared" ca="1" si="23"/>
        <v>14.887761579166845</v>
      </c>
      <c r="BC30" s="309">
        <f t="shared" si="24"/>
        <v>30</v>
      </c>
      <c r="BD30" s="20">
        <f t="shared" ca="1" si="25"/>
        <v>446.63284737500538</v>
      </c>
      <c r="BE30" s="97">
        <f t="shared" ca="1" si="26"/>
        <v>21095.944797574037</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20897.929666080538</v>
      </c>
      <c r="M31" s="97">
        <f ca="1">MIN( CHOOSE(Opcion.Abono, _Capital_Opcion_1, _Capital_Opcion_2, _Capital_Opcion_3) _Actual, _Saldo_Inicial _Actual)</f>
        <v>20897.929666080538</v>
      </c>
      <c r="N31" s="97">
        <f t="shared" ca="1" si="0"/>
        <v>20897.929666080538</v>
      </c>
      <c r="O31" s="309">
        <f ca="1">MAX( _Capital_Elegida _Actual, _Stopper_Capital _Actual)</f>
        <v>20897.929666080538</v>
      </c>
      <c r="P31" s="118">
        <f t="shared" ca="1" si="1"/>
        <v>7.4884247970121924</v>
      </c>
      <c r="Q31" s="118">
        <f t="shared" ca="1" si="2"/>
        <v>224.65274391036579</v>
      </c>
      <c r="R31" s="309">
        <f>Fechas!_Dias_Interes_Pago</f>
        <v>30</v>
      </c>
      <c r="S31" s="20">
        <f t="shared" ca="1" si="3"/>
        <v>224.65274391036579</v>
      </c>
      <c r="T31" s="20">
        <f t="shared" ca="1" si="4"/>
        <v>26.958329269243894</v>
      </c>
      <c r="U31" s="20">
        <f t="shared" ca="1" si="5"/>
        <v>21149.540739260148</v>
      </c>
      <c r="V31" s="310">
        <f ca="1">T_Merger!_Salida_Abono_1</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21149.540739259039</v>
      </c>
      <c r="AM31" s="97">
        <f ca="1">MAX( _Saldo_Final_Original _Anterior + _Saldo_Ciclico, 0)</f>
        <v>20897.929666080538</v>
      </c>
      <c r="AN31" s="20">
        <f t="shared" ca="1" si="14"/>
        <v>7.4884247970121924</v>
      </c>
      <c r="AO31" s="20">
        <f t="shared" ca="1" si="15"/>
        <v>224.65274391036579</v>
      </c>
      <c r="AP31" s="20">
        <f t="shared" ca="1" si="16"/>
        <v>224.65274391036579</v>
      </c>
      <c r="AQ31" s="20">
        <f t="shared" ca="1" si="17"/>
        <v>20897.929666080538</v>
      </c>
      <c r="AR31" s="335">
        <f ca="1">MAX( ((( _Pago_Fijo - (_Interes_Regular_Original * (1 + Iva.Intereses)) ))), _Stopper_Capital_Original _Actual )</f>
        <v>20897.929666080538</v>
      </c>
      <c r="AS31" s="97">
        <f ca="1">MAX(_Saldo_Inicial_Original _Actual - _Capital_Original _Actual, 0)</f>
        <v>0</v>
      </c>
      <c r="AT31"/>
      <c r="AU31" s="20">
        <f t="shared" ca="1" si="18"/>
        <v>20897.929666080538</v>
      </c>
      <c r="AV31" s="20">
        <f t="shared" ca="1" si="19"/>
        <v>20897.929666080454</v>
      </c>
      <c r="AW31" s="20">
        <f t="shared" ca="1" si="20"/>
        <v>251.61107317960969</v>
      </c>
      <c r="AX31" s="97">
        <f ca="1">IF( AND(_Abono_Anticipado _Anterior = 0, _Ciclicas &lt;&gt; 1 ), _Pago_Proyectado _Anterior, SUM(_Componentes_Pago_Proyectado _Actual))</f>
        <v>21149.540739259039</v>
      </c>
      <c r="AY31" s="335">
        <f t="shared" ca="1" si="21"/>
        <v>20897.929666079428</v>
      </c>
      <c r="AZ31" s="335">
        <f t="shared" ca="1" si="22"/>
        <v>20897.929666079428</v>
      </c>
      <c r="BB31" s="20">
        <f t="shared" ca="1" si="23"/>
        <v>7.4884247970121924</v>
      </c>
      <c r="BC31" s="309">
        <f t="shared" si="24"/>
        <v>30</v>
      </c>
      <c r="BD31" s="20">
        <f t="shared" ca="1" si="25"/>
        <v>224.65274391036579</v>
      </c>
      <c r="BE31" s="97">
        <f t="shared" ca="1" si="26"/>
        <v>21122.582409990904</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T_Merger!_Salida_Abono_1</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12</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T_Merger!_Salida_Abono_1</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T_Merger!_Salida_Abono_1</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T_Merger!_Salida_Abono_1</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0</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T_Merger!_Salida_Abono_1</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T_Merger!_Salida_Abono_1</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T_Merger!_Salida_Abono_1</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T_Merger!_Salida_Abono_1</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T_Merger!_Salida_Abono_1</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T_Merger!_Salida_Abono_1</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T_Merger!_Salida_Abono_1</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T_Merger!_Salida_Abono_1</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T_Merger!_Salida_Abono_1</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T_Merger!_Salida_Abono_1</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T_Merger!_Salida_Abono_1</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T_Merger!_Salida_Abono_1</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T_Merger!_Salida_Abono_1</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T_Merger!_Salida_Abono_1</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T_Merger!_Salida_Abono_1</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T_Merger!_Salida_Abono_1</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T_Merger!_Salida_Abono_1</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T_Merger!_Salida_Abono_1</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T_Merger!_Salida_Abono_1</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T_Merger!_Salida_Abono_1</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T_Merger!_Salida_Abono_1</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T_Merger!_Salida_Abono_1</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T_Merger!_Salida_Abono_1</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T_Merger!_Salida_Abono_1</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T_Merger!_Salida_Abono_1</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T_Merger!_Salida_Abono_1</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T_Merger!_Salida_Abono_1</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T_Merger!_Salida_Abono_1</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T_Merger!_Salida_Abono_1</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T_Merger!_Salida_Abono_1</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T_Merger!_Salida_Abono_1</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T_Merger!_Salida_Abono_1</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T_Merger!_Salida_Abono_1</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T_Merger!_Salida_Abono_1</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T_Merger!_Salida_Abono_1</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T_Merger!_Salida_Abono_1</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T_Merger!_Salida_Abono_1</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T_Merger!_Salida_Abono_1</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T_Merger!_Salida_Abono_1</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T_Merger!_Salida_Abono_1</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T_Merger!_Salida_Abono_1</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T_Merger!_Salida_Abono_1</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T_Merger!_Salida_Abono_1</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T_Merger!_Salida_Abono_1</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T_Merger!_Salida_Abono_1</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T_Merger!_Salida_Abono_1</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2"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codeName="Sheet16">
    <tabColor theme="4" tint="0.39997558519241921"/>
  </sheetPr>
  <dimension ref="A1:CA279"/>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0" width="16.7109375" style="14" customWidth="1"/>
    <col min="11" max="11" width="1.7109375" style="14" bestFit="1" customWidth="1"/>
    <col min="12" max="12" width="16.7109375" style="20" customWidth="1"/>
    <col min="13" max="14" width="13" style="20" customWidth="1"/>
    <col min="15" max="15" width="14.42578125" style="20" customWidth="1"/>
    <col min="16" max="21" width="13" style="20" customWidth="1"/>
    <col min="22" max="22" width="13.42578125" style="20" customWidth="1"/>
    <col min="23" max="23" width="13" style="20" customWidth="1"/>
    <col min="24" max="24" width="1.7109375" style="14" customWidth="1"/>
    <col min="25" max="26" width="14.42578125" style="14" customWidth="1"/>
    <col min="27" max="27" width="14" style="14" customWidth="1"/>
    <col min="28" max="28" width="13" style="14" customWidth="1"/>
    <col min="29" max="29" width="1.7109375" bestFit="1" customWidth="1"/>
    <col min="30" max="30" width="15.42578125" style="14" customWidth="1"/>
    <col min="31" max="31" width="13" style="14" customWidth="1"/>
    <col min="32" max="33" width="15.7109375" style="14" customWidth="1"/>
    <col min="34" max="34" width="13" style="14" customWidth="1"/>
    <col min="35" max="35" width="1.7109375" bestFit="1" customWidth="1"/>
    <col min="36" max="37" width="13" style="14" customWidth="1"/>
    <col min="38" max="38" width="1.7109375" bestFit="1" customWidth="1"/>
    <col min="39" max="43" width="13" style="14" customWidth="1"/>
    <col min="44" max="44" width="14.42578125" style="14" customWidth="1"/>
    <col min="45" max="45" width="14.42578125" style="14" bestFit="1" customWidth="1"/>
    <col min="46" max="46" width="1.7109375" style="14" customWidth="1"/>
    <col min="47" max="47" width="14.42578125" style="14" customWidth="1"/>
    <col min="48" max="49" width="13" style="14" customWidth="1"/>
    <col min="50" max="50" width="14.42578125" style="14" customWidth="1"/>
    <col min="51" max="52" width="13" style="14" customWidth="1"/>
    <col min="53" max="53" width="1.7109375" style="14" customWidth="1"/>
    <col min="54" max="54" width="13" style="14" customWidth="1"/>
    <col min="55" max="55" width="14.5703125" style="14" customWidth="1"/>
    <col min="56" max="57" width="13" style="14" customWidth="1"/>
    <col min="58" max="58" width="1.7109375" customWidth="1"/>
    <col min="59" max="60" width="9.140625" customWidth="1"/>
    <col min="61" max="69" width="9.140625" style="14" customWidth="1"/>
    <col min="70" max="74" width="9.140625" customWidth="1"/>
    <col min="75" max="76" width="9.140625" style="14" customWidth="1"/>
    <col min="77" max="79" width="9.140625" customWidth="1"/>
    <col min="80" max="16384" width="9.140625" style="14"/>
  </cols>
  <sheetData>
    <row r="1" spans="1:79" s="670" customFormat="1">
      <c r="D1"/>
      <c r="H1" s="67"/>
      <c r="L1" s="20"/>
      <c r="M1" s="20"/>
      <c r="N1" s="20"/>
      <c r="O1" s="20"/>
      <c r="P1" s="20"/>
      <c r="Q1" s="20"/>
      <c r="R1" s="20"/>
      <c r="S1" s="20"/>
      <c r="T1" s="20"/>
      <c r="U1" s="20"/>
      <c r="V1" s="20"/>
      <c r="W1" s="20"/>
      <c r="AC1"/>
      <c r="AI1"/>
      <c r="AL1"/>
      <c r="BF1"/>
      <c r="BG1"/>
      <c r="BH1"/>
      <c r="BR1"/>
      <c r="BS1"/>
      <c r="BT1"/>
      <c r="BU1"/>
      <c r="BV1"/>
      <c r="BY1"/>
      <c r="BZ1"/>
      <c r="CA1"/>
    </row>
    <row r="2" spans="1:79" ht="20.25" thickBot="1">
      <c r="A2" s="84"/>
      <c r="B2" s="84"/>
      <c r="C2" s="84"/>
      <c r="D2" s="12"/>
      <c r="E2" s="84"/>
      <c r="F2" s="84"/>
      <c r="G2" s="84"/>
      <c r="H2" s="280"/>
      <c r="I2" s="84"/>
      <c r="J2" s="307" t="s">
        <v>180</v>
      </c>
      <c r="K2" s="94"/>
      <c r="L2" s="308" t="s">
        <v>118</v>
      </c>
      <c r="M2" s="119"/>
      <c r="N2" s="119"/>
      <c r="O2" s="119"/>
      <c r="P2" s="119"/>
      <c r="Q2" s="119"/>
      <c r="R2" s="119"/>
      <c r="S2" s="94"/>
      <c r="T2" s="94"/>
      <c r="U2" s="94"/>
      <c r="V2" s="94"/>
      <c r="W2" s="94"/>
      <c r="X2" s="84"/>
      <c r="Y2" s="84"/>
      <c r="Z2" s="84"/>
      <c r="AA2" s="84"/>
      <c r="AB2" s="84"/>
      <c r="AC2" s="12"/>
      <c r="AD2" s="84"/>
      <c r="AE2" s="84"/>
      <c r="AF2" s="84"/>
      <c r="AG2" s="84"/>
      <c r="AH2" s="84"/>
      <c r="AI2" s="12"/>
      <c r="AJ2" s="84"/>
      <c r="AK2" s="84"/>
      <c r="AL2" s="12"/>
      <c r="AM2" s="84"/>
      <c r="AN2" s="84"/>
      <c r="AO2" s="84"/>
      <c r="AP2" s="84"/>
      <c r="AQ2" s="84"/>
      <c r="AR2" s="84"/>
      <c r="AS2" s="84"/>
      <c r="AT2" s="84"/>
      <c r="AU2" s="12"/>
      <c r="AV2" s="12"/>
      <c r="AW2" s="12"/>
      <c r="AX2" s="12"/>
      <c r="AY2" s="12"/>
      <c r="AZ2" s="12"/>
      <c r="BA2" s="12"/>
      <c r="BB2" s="12"/>
      <c r="BC2" s="12"/>
      <c r="BD2" s="12"/>
      <c r="BE2" s="278"/>
      <c r="BI2" t="s">
        <v>555</v>
      </c>
      <c r="BJ2"/>
      <c r="BK2"/>
    </row>
    <row r="3" spans="1:79" s="108" customFormat="1" ht="15.75" thickTop="1">
      <c r="D3"/>
      <c r="H3" s="282"/>
      <c r="J3" s="269" t="s">
        <v>1718</v>
      </c>
      <c r="K3" s="271" t="s">
        <v>120</v>
      </c>
      <c r="M3" s="279"/>
      <c r="N3" s="279"/>
      <c r="O3" s="88"/>
      <c r="P3" s="88"/>
      <c r="Q3" s="88"/>
      <c r="R3" s="88"/>
      <c r="S3" s="88"/>
      <c r="T3" s="88"/>
      <c r="U3" s="88"/>
      <c r="V3" s="88"/>
      <c r="W3" s="88"/>
      <c r="AC3" s="117"/>
      <c r="AI3" s="117"/>
      <c r="AL3" s="117"/>
      <c r="AM3" s="117"/>
      <c r="AN3" s="117"/>
      <c r="AO3" s="117"/>
      <c r="AP3" s="117"/>
      <c r="AQ3" s="117"/>
      <c r="AR3" s="117"/>
      <c r="AS3" s="117"/>
      <c r="AU3"/>
      <c r="AV3"/>
      <c r="AW3"/>
      <c r="AX3"/>
      <c r="AY3"/>
      <c r="AZ3"/>
      <c r="BA3"/>
      <c r="BB3"/>
      <c r="BC3"/>
      <c r="BD3"/>
      <c r="BE3"/>
      <c r="BF3" s="117"/>
      <c r="BG3" s="117"/>
      <c r="BH3"/>
      <c r="BI3" s="117"/>
      <c r="BJ3" s="117"/>
      <c r="BK3" s="117"/>
      <c r="BR3" s="117"/>
      <c r="BS3" s="117"/>
      <c r="BT3" s="117"/>
      <c r="BU3" s="117"/>
      <c r="BV3" s="117"/>
      <c r="BY3" s="117"/>
      <c r="BZ3" s="117"/>
      <c r="CA3" s="117"/>
    </row>
    <row r="4" spans="1:79" s="270" customFormat="1" hidden="1">
      <c r="B4"/>
      <c r="C4"/>
      <c r="D4"/>
      <c r="E4"/>
      <c r="F4"/>
      <c r="H4" s="283"/>
      <c r="O4" s="272"/>
      <c r="P4" s="272"/>
      <c r="Q4" s="272"/>
      <c r="R4" s="272"/>
      <c r="S4" s="272"/>
      <c r="T4" s="272"/>
      <c r="U4" s="272"/>
      <c r="V4" s="272"/>
      <c r="W4" s="272"/>
      <c r="AC4" s="121"/>
      <c r="AI4" s="121"/>
      <c r="AL4" s="121"/>
      <c r="AM4" s="121"/>
      <c r="AN4" s="121"/>
      <c r="AO4" s="121"/>
      <c r="AP4" s="121"/>
      <c r="AQ4" s="121"/>
      <c r="AR4" s="121"/>
      <c r="AS4" s="121"/>
      <c r="AU4"/>
      <c r="AV4"/>
      <c r="AW4"/>
      <c r="AX4"/>
      <c r="AY4"/>
      <c r="AZ4"/>
      <c r="BA4"/>
      <c r="BB4"/>
      <c r="BC4"/>
      <c r="BD4"/>
      <c r="BE4"/>
      <c r="BF4" s="121"/>
      <c r="BG4" s="121"/>
      <c r="BH4"/>
      <c r="BI4" s="121"/>
      <c r="BJ4" s="121"/>
      <c r="BK4" s="121"/>
      <c r="BR4" s="121"/>
      <c r="BS4" s="121"/>
      <c r="BT4" s="121"/>
      <c r="BU4" s="121"/>
      <c r="BV4" s="121"/>
      <c r="BY4" s="121"/>
      <c r="BZ4" s="121"/>
      <c r="CA4" s="121"/>
    </row>
    <row r="5" spans="1:79" s="108" customFormat="1" hidden="1">
      <c r="B5"/>
      <c r="C5"/>
      <c r="D5"/>
      <c r="E5"/>
      <c r="F5"/>
      <c r="H5" s="282"/>
      <c r="J5" s="85"/>
      <c r="L5" s="88"/>
      <c r="M5" s="88"/>
      <c r="N5" s="88"/>
      <c r="O5" s="88"/>
      <c r="P5" s="88"/>
      <c r="Q5" s="88"/>
      <c r="R5" s="88"/>
      <c r="S5" s="88"/>
      <c r="T5" s="88"/>
      <c r="U5" s="88"/>
      <c r="AC5" s="117"/>
      <c r="AD5" s="14"/>
      <c r="AE5" s="14"/>
      <c r="AF5" s="14"/>
      <c r="AG5" s="14"/>
      <c r="AH5" s="14"/>
      <c r="AI5" s="117"/>
      <c r="AJ5" s="14"/>
      <c r="AL5" s="117"/>
      <c r="AM5" s="117"/>
      <c r="AN5" s="117"/>
      <c r="AO5" s="117"/>
      <c r="AP5" s="117"/>
      <c r="AQ5" s="117"/>
      <c r="AR5" s="117"/>
      <c r="AS5" s="117"/>
      <c r="AU5"/>
      <c r="AV5"/>
      <c r="AW5"/>
      <c r="AX5"/>
      <c r="AY5"/>
      <c r="AZ5"/>
      <c r="BA5"/>
      <c r="BB5"/>
      <c r="BC5"/>
      <c r="BD5"/>
      <c r="BE5"/>
      <c r="BF5" s="117"/>
      <c r="BG5" s="117"/>
      <c r="BH5"/>
      <c r="BI5" s="117"/>
      <c r="BJ5" s="117"/>
      <c r="BK5" s="117"/>
      <c r="BL5" s="117"/>
      <c r="BR5" s="117"/>
      <c r="BS5" s="117"/>
      <c r="BT5" s="117"/>
      <c r="BU5" s="117"/>
      <c r="BV5" s="117"/>
      <c r="BY5" s="117"/>
      <c r="BZ5" s="117"/>
      <c r="CA5" s="117"/>
    </row>
    <row r="6" spans="1:79" hidden="1">
      <c r="B6"/>
      <c r="C6"/>
      <c r="E6"/>
      <c r="F6"/>
      <c r="P6"/>
      <c r="Q6"/>
      <c r="S6" s="99"/>
      <c r="Z6" s="108"/>
      <c r="AA6" s="108"/>
      <c r="AU6"/>
      <c r="AV6"/>
      <c r="AW6"/>
      <c r="AX6"/>
      <c r="AY6"/>
      <c r="AZ6"/>
      <c r="BA6"/>
      <c r="BB6"/>
      <c r="BC6"/>
      <c r="BD6"/>
      <c r="BE6"/>
      <c r="BI6"/>
      <c r="BJ6"/>
      <c r="BK6"/>
      <c r="BL6" s="112"/>
    </row>
    <row r="7" spans="1:79" hidden="1">
      <c r="B7"/>
      <c r="C7"/>
      <c r="E7"/>
      <c r="F7"/>
      <c r="P7"/>
      <c r="Q7"/>
      <c r="S7" s="99"/>
      <c r="AU7"/>
      <c r="AV7"/>
      <c r="AW7"/>
      <c r="AX7"/>
      <c r="AY7"/>
      <c r="AZ7"/>
      <c r="BA7"/>
      <c r="BB7"/>
      <c r="BC7"/>
      <c r="BD7"/>
      <c r="BE7"/>
      <c r="BI7"/>
      <c r="BJ7"/>
      <c r="BK7"/>
    </row>
    <row r="8" spans="1:79" hidden="1">
      <c r="B8"/>
      <c r="C8"/>
      <c r="E8"/>
      <c r="F8"/>
      <c r="P8"/>
      <c r="Q8"/>
      <c r="R8" s="105"/>
      <c r="S8" s="99"/>
      <c r="V8" s="105"/>
      <c r="AU8"/>
      <c r="AV8"/>
      <c r="AW8"/>
      <c r="AX8"/>
      <c r="AY8"/>
      <c r="AZ8"/>
      <c r="BA8"/>
      <c r="BB8"/>
      <c r="BC8"/>
      <c r="BD8"/>
      <c r="BE8"/>
      <c r="BI8"/>
      <c r="BJ8"/>
      <c r="BK8"/>
    </row>
    <row r="9" spans="1:79" hidden="1">
      <c r="B9"/>
      <c r="C9"/>
      <c r="E9"/>
      <c r="F9"/>
      <c r="P9"/>
      <c r="Q9"/>
      <c r="R9" s="32"/>
      <c r="S9" s="103"/>
      <c r="V9" s="32"/>
      <c r="AU9"/>
      <c r="AV9"/>
      <c r="AW9"/>
      <c r="AX9"/>
      <c r="AY9"/>
      <c r="AZ9"/>
      <c r="BA9"/>
      <c r="BB9"/>
      <c r="BC9"/>
      <c r="BD9"/>
      <c r="BE9"/>
      <c r="BG9" s="100"/>
    </row>
    <row r="10" spans="1:79" hidden="1">
      <c r="B10"/>
      <c r="C10"/>
      <c r="E10"/>
      <c r="F10"/>
      <c r="P10"/>
      <c r="Q10"/>
      <c r="S10" s="103"/>
      <c r="AU10"/>
      <c r="AV10"/>
      <c r="AW10"/>
      <c r="AX10"/>
      <c r="AY10"/>
      <c r="AZ10"/>
      <c r="BA10"/>
      <c r="BB10"/>
      <c r="BC10"/>
      <c r="BD10"/>
      <c r="BE10"/>
      <c r="BG10" s="14"/>
      <c r="BK10" s="20"/>
      <c r="BL10" s="20"/>
    </row>
    <row r="11" spans="1:79" hidden="1">
      <c r="B11"/>
      <c r="C11"/>
      <c r="E11"/>
      <c r="F11"/>
      <c r="P11"/>
      <c r="Q11"/>
      <c r="R11" s="99"/>
      <c r="S11" s="103"/>
      <c r="V11" s="116"/>
      <c r="AU11"/>
      <c r="AV11"/>
      <c r="AW11"/>
      <c r="AX11"/>
      <c r="AY11"/>
      <c r="AZ11"/>
      <c r="BA11"/>
      <c r="BB11"/>
      <c r="BC11"/>
      <c r="BD11"/>
      <c r="BE11"/>
      <c r="BG11" s="14"/>
      <c r="BK11" s="20"/>
      <c r="BL11" s="20"/>
    </row>
    <row r="12" spans="1:79" hidden="1">
      <c r="B12"/>
      <c r="C12"/>
      <c r="E12"/>
      <c r="F12"/>
      <c r="L12" s="103"/>
      <c r="N12" s="108"/>
      <c r="P12"/>
      <c r="Q12"/>
      <c r="S12" s="103"/>
      <c r="AD12" s="113"/>
      <c r="AE12" s="113"/>
      <c r="AH12" s="108"/>
      <c r="AJ12" s="109"/>
      <c r="BB12" s="110"/>
      <c r="BD12" s="110"/>
    </row>
    <row r="13" spans="1:79">
      <c r="B13"/>
      <c r="C13"/>
      <c r="E13"/>
      <c r="F13"/>
      <c r="P13"/>
      <c r="Q13"/>
      <c r="S13" s="103"/>
      <c r="AD13" s="114"/>
      <c r="AE13" s="114"/>
    </row>
    <row r="14" spans="1:79">
      <c r="B14"/>
      <c r="C14"/>
      <c r="E14"/>
      <c r="F14"/>
      <c r="L14" s="103"/>
      <c r="N14" s="103"/>
      <c r="P14"/>
      <c r="Q14"/>
      <c r="S14" s="14"/>
      <c r="T14" s="14"/>
      <c r="U14" s="14" t="s">
        <v>555</v>
      </c>
      <c r="W14" s="14" t="s">
        <v>555</v>
      </c>
      <c r="X14"/>
      <c r="Y14" s="909" t="s">
        <v>59</v>
      </c>
      <c r="Z14" s="909"/>
      <c r="AA14" s="909"/>
      <c r="AB14" s="909"/>
      <c r="AD14" s="915" t="s">
        <v>72</v>
      </c>
      <c r="AE14" s="916"/>
      <c r="AF14" s="916"/>
      <c r="AG14" s="916"/>
      <c r="AH14" s="917"/>
      <c r="AJ14" s="915" t="s">
        <v>1722</v>
      </c>
      <c r="AK14" s="917"/>
      <c r="AM14" s="909" t="s">
        <v>64</v>
      </c>
      <c r="AN14" s="909"/>
      <c r="AO14" s="909"/>
      <c r="AP14" s="909"/>
      <c r="AQ14" s="909"/>
      <c r="AR14" s="909"/>
      <c r="AS14" s="909"/>
      <c r="AT14"/>
      <c r="AU14" s="915" t="s">
        <v>1727</v>
      </c>
      <c r="AV14" s="916"/>
      <c r="AW14" s="916"/>
      <c r="AX14" s="916"/>
      <c r="AY14" s="916"/>
      <c r="AZ14" s="917"/>
      <c r="BB14" s="915" t="s">
        <v>1713</v>
      </c>
      <c r="BC14" s="916"/>
      <c r="BD14" s="916"/>
      <c r="BE14" s="917"/>
      <c r="BF14" s="14"/>
      <c r="BG14" s="14"/>
      <c r="BR14" s="14"/>
      <c r="BS14" s="14"/>
      <c r="BT14" s="14"/>
      <c r="BU14" s="14"/>
      <c r="BV14" s="14"/>
      <c r="BY14" s="14"/>
      <c r="BZ14" s="14"/>
      <c r="CA14" s="14"/>
    </row>
    <row r="15" spans="1:79" s="108" customFormat="1">
      <c r="B15"/>
      <c r="C15"/>
      <c r="D15"/>
      <c r="E15"/>
      <c r="F15"/>
      <c r="H15" s="282"/>
      <c r="X15" s="117"/>
      <c r="Y15" s="117"/>
      <c r="Z15" s="117"/>
      <c r="AA15" s="117"/>
      <c r="AB15" s="117"/>
      <c r="AC15"/>
      <c r="AD15" s="117"/>
      <c r="AE15" s="117"/>
      <c r="AI15"/>
      <c r="AL15"/>
      <c r="AT15" s="117"/>
      <c r="AU15" s="117"/>
      <c r="AV15" s="117"/>
      <c r="AW15" s="117"/>
      <c r="AX15" s="117"/>
      <c r="AY15" s="117"/>
      <c r="AZ15" s="117"/>
      <c r="BH15"/>
    </row>
    <row r="16" spans="1:79" s="90" customFormat="1" ht="45">
      <c r="A16" s="90" t="s">
        <v>555</v>
      </c>
      <c r="B16" s="284" t="s">
        <v>1734</v>
      </c>
      <c r="C16" s="282"/>
      <c r="D16" t="s">
        <v>555</v>
      </c>
      <c r="E16" s="284" t="s">
        <v>489</v>
      </c>
      <c r="F16" s="282"/>
      <c r="G16" s="90" t="s">
        <v>555</v>
      </c>
      <c r="H16" s="285" t="s">
        <v>555</v>
      </c>
      <c r="I16" s="90" t="s">
        <v>555</v>
      </c>
      <c r="J16" s="92" t="s">
        <v>50</v>
      </c>
      <c r="K16" s="98" t="s">
        <v>555</v>
      </c>
      <c r="L16" s="91" t="s">
        <v>1699</v>
      </c>
      <c r="M16" s="91" t="s">
        <v>121</v>
      </c>
      <c r="N16" s="91" t="s">
        <v>122</v>
      </c>
      <c r="O16" s="91" t="s">
        <v>1700</v>
      </c>
      <c r="P16" s="91" t="s">
        <v>32</v>
      </c>
      <c r="Q16" s="332" t="s">
        <v>181</v>
      </c>
      <c r="R16" s="91" t="s">
        <v>42</v>
      </c>
      <c r="S16" s="91" t="s">
        <v>1701</v>
      </c>
      <c r="T16" s="91" t="s">
        <v>492</v>
      </c>
      <c r="U16" s="91" t="s">
        <v>1702</v>
      </c>
      <c r="V16" s="91" t="s">
        <v>1704</v>
      </c>
      <c r="W16" s="91" t="s">
        <v>1703</v>
      </c>
      <c r="X16" t="s">
        <v>555</v>
      </c>
      <c r="Y16" s="107" t="s">
        <v>61</v>
      </c>
      <c r="Z16" s="107" t="s">
        <v>1726</v>
      </c>
      <c r="AA16" s="107" t="s">
        <v>58</v>
      </c>
      <c r="AB16" s="107" t="s">
        <v>60</v>
      </c>
      <c r="AC16" t="s">
        <v>555</v>
      </c>
      <c r="AD16" s="92" t="s">
        <v>123</v>
      </c>
      <c r="AE16" s="92" t="s">
        <v>1721</v>
      </c>
      <c r="AF16" s="92" t="s">
        <v>1719</v>
      </c>
      <c r="AG16" s="92" t="s">
        <v>124</v>
      </c>
      <c r="AH16" s="92" t="s">
        <v>1720</v>
      </c>
      <c r="AI16"/>
      <c r="AJ16" s="286" t="s">
        <v>62</v>
      </c>
      <c r="AK16" s="287" t="s">
        <v>63</v>
      </c>
      <c r="AL16" t="s">
        <v>555</v>
      </c>
      <c r="AM16" s="107" t="s">
        <v>1705</v>
      </c>
      <c r="AN16" s="107" t="s">
        <v>51</v>
      </c>
      <c r="AO16" s="333" t="s">
        <v>181</v>
      </c>
      <c r="AP16" s="334" t="s">
        <v>34</v>
      </c>
      <c r="AQ16" s="107" t="s">
        <v>122</v>
      </c>
      <c r="AR16" s="107" t="s">
        <v>1711</v>
      </c>
      <c r="AS16" s="107" t="s">
        <v>125</v>
      </c>
      <c r="AT16" t="s">
        <v>555</v>
      </c>
      <c r="AU16" s="91" t="s">
        <v>1715</v>
      </c>
      <c r="AV16" s="91" t="s">
        <v>39</v>
      </c>
      <c r="AW16" s="91" t="s">
        <v>40</v>
      </c>
      <c r="AX16" s="91" t="s">
        <v>36</v>
      </c>
      <c r="AY16" s="91" t="s">
        <v>1716</v>
      </c>
      <c r="AZ16" s="91" t="s">
        <v>1717</v>
      </c>
      <c r="BA16" s="98" t="s">
        <v>555</v>
      </c>
      <c r="BB16" s="91" t="s">
        <v>32</v>
      </c>
      <c r="BC16" s="91" t="s">
        <v>57</v>
      </c>
      <c r="BD16" s="89" t="s">
        <v>1723</v>
      </c>
      <c r="BE16" s="89" t="s">
        <v>1712</v>
      </c>
      <c r="BF16" s="98" t="s">
        <v>555</v>
      </c>
      <c r="BH16"/>
    </row>
    <row r="17" spans="2:79">
      <c r="B17" s="102" t="s">
        <v>43</v>
      </c>
      <c r="C17" s="288">
        <f ca="1">'Configuración de Tablas'!H8</f>
        <v>0</v>
      </c>
      <c r="E17" s="289" t="s">
        <v>56</v>
      </c>
      <c r="F17" s="274">
        <f ca="1" xml:space="preserve"> Tasa.Interes / Periodos.Por.Año</f>
        <v>1.0750000000000001E-2</v>
      </c>
      <c r="L17" s="14"/>
      <c r="M17" s="14"/>
      <c r="N17" s="14"/>
      <c r="O17" s="14"/>
      <c r="P17" s="14"/>
      <c r="Q17" s="14"/>
      <c r="R17" s="14"/>
      <c r="S17" s="14"/>
      <c r="T17" s="14"/>
      <c r="U17" s="14"/>
      <c r="V17" s="14"/>
      <c r="W17" s="14"/>
      <c r="X17"/>
      <c r="Y17"/>
      <c r="Z17"/>
      <c r="AA17"/>
      <c r="AB17"/>
      <c r="AE17"/>
      <c r="AT17"/>
      <c r="AU17"/>
      <c r="AV17"/>
      <c r="AW17"/>
      <c r="AX17"/>
      <c r="AY17"/>
      <c r="AZ17"/>
      <c r="BF17" s="14"/>
      <c r="BG17" s="14"/>
      <c r="BR17" s="14"/>
      <c r="BS17" s="14"/>
      <c r="BT17" s="14"/>
      <c r="BU17" s="14"/>
      <c r="BV17" s="14"/>
      <c r="BY17" s="14"/>
      <c r="BZ17" s="14"/>
      <c r="CA17" s="14"/>
    </row>
    <row r="18" spans="2:79">
      <c r="B18" s="290" t="s">
        <v>44</v>
      </c>
      <c r="C18" s="291">
        <f>'Configuración de Tablas'!H9</f>
        <v>30</v>
      </c>
      <c r="E18" s="289" t="s">
        <v>55</v>
      </c>
      <c r="F18" s="274">
        <f ca="1" xml:space="preserve"> Tasa.Interes / Dias.En.Año</f>
        <v>3.5833333333333333E-4</v>
      </c>
      <c r="J18" s="44" t="s">
        <v>1710</v>
      </c>
      <c r="M18" s="14"/>
      <c r="N18" s="14"/>
      <c r="O18" s="86">
        <f ca="1">SUM(_Capital)</f>
        <v>0</v>
      </c>
      <c r="P18" s="86"/>
      <c r="Q18" s="86"/>
      <c r="R18" s="86"/>
      <c r="S18" s="86">
        <f ca="1">SUM(_Interes)</f>
        <v>0</v>
      </c>
      <c r="T18" s="86">
        <f ca="1">SUM(_Iva)</f>
        <v>0</v>
      </c>
      <c r="V18" s="86">
        <f ca="1">SUM(_Abono_Anticipado)</f>
        <v>0</v>
      </c>
      <c r="W18" s="14"/>
      <c r="X18"/>
      <c r="Y18" s="115"/>
      <c r="Z18" s="86">
        <f ca="1">SUM(_Abono_Sobrante) - (SUM(_Abono_Sobrante_Ciclo_Anterior)*Renueva.Abono.Sobrante?)</f>
        <v>0</v>
      </c>
      <c r="AA18" s="86"/>
      <c r="AB18" s="115"/>
      <c r="AE18"/>
      <c r="AR18" s="86">
        <f ca="1">SUM(_Capital_Original)</f>
        <v>0</v>
      </c>
      <c r="AS18" s="86"/>
      <c r="AT18"/>
      <c r="AU18"/>
      <c r="AV18"/>
      <c r="AW18"/>
      <c r="AX18"/>
      <c r="AY18"/>
      <c r="AZ18"/>
      <c r="BC18" s="86"/>
      <c r="BD18" s="86">
        <f ca="1">SUM(_Interes_CAT)</f>
        <v>0</v>
      </c>
      <c r="BF18" s="14"/>
      <c r="BG18" s="14"/>
      <c r="BI18" s="85" t="s">
        <v>81</v>
      </c>
      <c r="BR18" s="14"/>
      <c r="BS18" s="14"/>
      <c r="BT18" s="14"/>
      <c r="BU18" s="14"/>
      <c r="BV18" s="14"/>
      <c r="BY18" s="14"/>
      <c r="BZ18" s="14"/>
      <c r="CA18" s="14"/>
    </row>
    <row r="19" spans="2:79">
      <c r="B19" s="290" t="s">
        <v>1731</v>
      </c>
      <c r="C19" s="291">
        <f ca="1">'Configuración de Tablas'!H10</f>
        <v>12</v>
      </c>
      <c r="E19" s="289" t="s">
        <v>54</v>
      </c>
      <c r="F19" s="274">
        <f ca="1" xml:space="preserve"> Tasa.Diaria * Dias.Por.Periodo</f>
        <v>1.0749999999999999E-2</v>
      </c>
      <c r="L19" s="14"/>
      <c r="M19" s="14"/>
      <c r="N19" s="14"/>
      <c r="O19" s="14"/>
      <c r="P19" s="14"/>
      <c r="Q19" s="14"/>
      <c r="R19" s="14"/>
      <c r="S19" s="14"/>
      <c r="T19" s="14"/>
      <c r="U19" s="14"/>
      <c r="V19" s="14"/>
      <c r="W19" s="14"/>
      <c r="X19"/>
      <c r="Y19"/>
      <c r="Z19"/>
      <c r="AA19"/>
      <c r="AB19"/>
      <c r="AE19"/>
      <c r="AT19"/>
      <c r="AU19"/>
      <c r="AV19"/>
      <c r="AW19"/>
      <c r="AX19"/>
      <c r="AY19"/>
      <c r="AZ19"/>
      <c r="BF19" s="14"/>
      <c r="BG19" s="14"/>
      <c r="BR19" s="14"/>
      <c r="BS19" s="14"/>
      <c r="BT19" s="14"/>
      <c r="BU19" s="14"/>
      <c r="BV19" s="14"/>
      <c r="BY19" s="14"/>
      <c r="BZ19" s="14"/>
      <c r="CA19" s="14"/>
    </row>
    <row r="20" spans="2:79">
      <c r="B20" s="290" t="s">
        <v>1728</v>
      </c>
      <c r="C20" s="291">
        <f ca="1">'Configuración de Tablas'!H11</f>
        <v>12</v>
      </c>
      <c r="E20" s="290" t="s">
        <v>53</v>
      </c>
      <c r="F20" s="116">
        <f ca="1">IF( Tabla.Ciclica.Anual?, Periodos.Por.Año, Numero.Pagos )</f>
        <v>12</v>
      </c>
      <c r="J20" s="14">
        <v>1</v>
      </c>
      <c r="L20" s="97">
        <f ca="1">_Saldo_Ciclico</f>
        <v>0</v>
      </c>
      <c r="M20" s="97">
        <f ca="1">MIN( CHOOSE(Opcion.Abono, _Capital_Opcion_1, _Capital_Opcion_2, _Capital_Opcion_3) _Actual, _Saldo_Inicial _Actual)</f>
        <v>0</v>
      </c>
      <c r="N20" s="97">
        <f t="shared" ref="N20:N51" ca="1" si="0">_Saldo_Inicial * ( _Amortizacion = Numero.Pagos )</f>
        <v>0</v>
      </c>
      <c r="O20" s="309">
        <f ca="1">MAX( _Capital_Elegida _Actual, _Stopper_Capital _Actual)</f>
        <v>0</v>
      </c>
      <c r="P20" s="118">
        <f t="shared" ref="P20:P51" ca="1" si="1">_Saldo_Inicial * Tasa.Diaria</f>
        <v>0</v>
      </c>
      <c r="Q20" s="118">
        <f t="shared" ref="Q20:Q78" ca="1" si="2" xml:space="preserve"> _Interes_Diario * Dias.Por.Periodo</f>
        <v>0</v>
      </c>
      <c r="R20" s="309">
        <f>Fechas!_Dias_Interes_Pago</f>
        <v>20</v>
      </c>
      <c r="S20" s="20">
        <f t="shared" ref="S20:S51" ca="1" si="3">_Interes_Diario * _Dias_Interes_Periodo</f>
        <v>0</v>
      </c>
      <c r="T20" s="20">
        <f t="shared" ref="T20:T51" ca="1" si="4">_Interes *Iva.Intereses</f>
        <v>0</v>
      </c>
      <c r="U20" s="20">
        <f t="shared" ref="U20:U51" ca="1" si="5">_Capital + _Interes + _Iva</f>
        <v>0</v>
      </c>
      <c r="V20" s="310">
        <f ca="1">T_Merger!_Salida_Abono_2</f>
        <v>0</v>
      </c>
      <c r="W20" s="20">
        <f t="shared" ref="W20:W51" ca="1" si="6">MAX( _Saldo_Inicial - _Capital-_Abono_Anticipado,0)</f>
        <v>0</v>
      </c>
      <c r="X20"/>
      <c r="Y20" s="275">
        <v>0</v>
      </c>
      <c r="Z20" s="20">
        <f t="shared" ref="Z20:Z51" ca="1" si="7">-MIN( _Saldo_Inicial - _Capital - _Abono_Anticipado, 0 )</f>
        <v>0</v>
      </c>
      <c r="AA20" s="20">
        <f ca="1">_Abono_Sobrante + IF(_Ciclicas = 1, 0, _Sobrante_Acumulado_x_Ciclo _Anterior)</f>
        <v>0</v>
      </c>
      <c r="AB20" s="20">
        <f ca="1">IF(AND(_Ciclicas=1, _Ciclo&gt;1),  _Sobrante_Acumulado_x_Ciclo _Anterior,0)</f>
        <v>0</v>
      </c>
      <c r="AD20" s="14">
        <f t="shared" ref="AD20:AD51" ca="1" si="8">MAX( Numero.Pagos - _Amortizacion + 1, 0 )</f>
        <v>12</v>
      </c>
      <c r="AE20" s="14">
        <f t="shared" ref="AE20:AE51" ca="1" si="9">MOD( _Amortizacion - 1, Periodos.Por.Ciclo ) + 1</f>
        <v>1</v>
      </c>
      <c r="AF20" s="14">
        <f t="shared" ref="AF20:AF51" ca="1" si="10" xml:space="preserve"> Periodos.Por.Ciclo - _Ciclicas + 1</f>
        <v>12</v>
      </c>
      <c r="AG20" s="14">
        <f ca="1">MIN(_Ciclicas_Remanentes _Actual, _Remanentes _Actual)</f>
        <v>12</v>
      </c>
      <c r="AH20" s="32">
        <f t="shared" ref="AH20:AH51" ca="1" si="11">INT(( _Amortizacion - 1 ) / Periodos.Por.Ciclo ) + 1</f>
        <v>1</v>
      </c>
      <c r="AJ20" s="20">
        <f t="shared" ref="AJ20:AJ78" ca="1" si="12">( ( Monto.Financiar + ( Monto.Extra.Ciclo.1 * ( _Ciclo = 1 ) ) ) * ( _Ciclicas = 1 )) * ( _Amortizacion &lt;= Numero.Pagos )</f>
        <v>0</v>
      </c>
      <c r="AK20" s="97">
        <f t="shared" ref="AK20:AK51" ca="1" si="13" xml:space="preserve"> ( Pago.Fijo + ( Pago.Extra.Ciclo.1 * ( _Ciclo = 1 ) ) ) * ( _Amortizacion &lt;= Numero.Pagos )</f>
        <v>0</v>
      </c>
      <c r="AM20" s="20">
        <f ca="1">_Saldo_Ciclico</f>
        <v>0</v>
      </c>
      <c r="AN20" s="20">
        <f t="shared" ref="AN20:AN51" ca="1" si="14">_Saldo_Inicial_Original * Tasa.Diaria</f>
        <v>0</v>
      </c>
      <c r="AO20" s="20">
        <f t="shared" ref="AO20:AO78" ca="1" si="15">_Interes_Diario_Original * Dias.Por.Periodo</f>
        <v>0</v>
      </c>
      <c r="AP20" s="20">
        <f t="shared" ref="AP20:AP51" ca="1" si="16">_Interes_Diario_Original * _Dias_Interes_Periodo</f>
        <v>0</v>
      </c>
      <c r="AQ20" s="20">
        <f t="shared" ref="AQ20:AQ51" ca="1" si="17">_Saldo_Inicial_Original * ( _Amortizacion = Numero.Pagos )</f>
        <v>0</v>
      </c>
      <c r="AR20" s="335">
        <f ca="1">MAX( ((( _Pago_Fijo - (_Interes_Regular_Original * (1 + Iva.Intereses)) ))), _Stopper_Capital_Original _Actual )</f>
        <v>0</v>
      </c>
      <c r="AS20" s="97">
        <f ca="1">MAX(_Saldo_Inicial_Original _Actual - _Capital_Original _Actual, 0)</f>
        <v>0</v>
      </c>
      <c r="AT20"/>
      <c r="AU20" s="20">
        <f t="shared" ref="AU20:AU51" ca="1" si="18" xml:space="preserve"> _Capital_Original</f>
        <v>0</v>
      </c>
      <c r="AV20" s="20">
        <f t="shared" ref="AV20:AV51" ca="1" si="19">-PPMT(Tasa.Por.Periodo*(1+Iva.Intereses),1,_Ciclicas_Remanentes,_Saldo_Inicial)</f>
        <v>0</v>
      </c>
      <c r="AW20" s="20">
        <f t="shared" ref="AW20:AW51" ca="1" si="20">-IPMT(Tasa.Diaria.Por.Periodo*(1+Iva.Intereses),1,_Ciclicas_Remanentes,_Saldo_Inicial)</f>
        <v>0</v>
      </c>
      <c r="AX20" s="97">
        <f ca="1">SUM(_Componentes_Pago_Proyectado _Actual)</f>
        <v>0</v>
      </c>
      <c r="AY20" s="335">
        <f t="shared" ref="AY20:AY78" ca="1" si="21">_Pago_Proyectado - ( _Interes_Periodo_Regular * ( 1 + Iva.Intereses ) )</f>
        <v>0</v>
      </c>
      <c r="AZ20" s="335">
        <f t="shared" ref="AZ20:AZ78" ca="1" si="22">_Pago_Fijo - ( _Interes_Periodo_Regular * ( 1 + Iva.Intereses ) )</f>
        <v>0</v>
      </c>
      <c r="BA20" s="111"/>
      <c r="BB20" s="20">
        <f t="shared" ref="BB20:BB51" ca="1" si="23">_Interes_Diario_Original</f>
        <v>0</v>
      </c>
      <c r="BC20" s="309">
        <f t="shared" ref="BC20:BC51" si="24">Dias.Por.Periodo</f>
        <v>30</v>
      </c>
      <c r="BD20" s="20">
        <f t="shared" ref="BD20:BD51" ca="1" si="25">_Interes_Diario_CAT * _Dias_Interes_CAT</f>
        <v>0</v>
      </c>
      <c r="BE20" s="97">
        <f ca="1">( _Capital_Original + _Interes_CAT )  * (_Amortizacion &lt;= Numero.Pagos)</f>
        <v>0</v>
      </c>
      <c r="BF20" s="14"/>
      <c r="BG20" s="14"/>
      <c r="BI20" s="44" t="s">
        <v>126</v>
      </c>
      <c r="BJ20" s="102" t="s">
        <v>127</v>
      </c>
      <c r="BR20" s="14"/>
      <c r="BS20" s="14"/>
      <c r="BT20" s="14"/>
      <c r="BU20" s="14"/>
      <c r="BV20" s="14"/>
      <c r="BY20" s="14"/>
      <c r="BZ20" s="14"/>
      <c r="CA20" s="14"/>
    </row>
    <row r="21" spans="2:79">
      <c r="B21" s="290" t="s">
        <v>1729</v>
      </c>
      <c r="C21" s="294">
        <f ca="1">'Configuración de Tablas'!H12</f>
        <v>0.12</v>
      </c>
      <c r="J21" s="14">
        <v>2</v>
      </c>
      <c r="L21" s="97">
        <f ca="1">MAX( _Saldo_Final _Anterior + _Saldo_Ciclico,0)</f>
        <v>0</v>
      </c>
      <c r="M21" s="97">
        <f ca="1">MIN( CHOOSE(Opcion.Abono, _Capital_Opcion_1, _Capital_Opcion_2, _Capital_Opcion_3) _Actual, _Saldo_Inicial _Actual)</f>
        <v>0</v>
      </c>
      <c r="N21" s="97">
        <f t="shared" ca="1" si="0"/>
        <v>0</v>
      </c>
      <c r="O21" s="309">
        <f ca="1">MAX( _Capital_Elegida _Actual, _Stopper_Capital _Actual)</f>
        <v>0</v>
      </c>
      <c r="P21" s="118">
        <f t="shared" ca="1" si="1"/>
        <v>0</v>
      </c>
      <c r="Q21" s="118">
        <f t="shared" ca="1" si="2"/>
        <v>0</v>
      </c>
      <c r="R21" s="309">
        <f>Fechas!_Dias_Interes_Pago</f>
        <v>30</v>
      </c>
      <c r="S21" s="20">
        <f t="shared" ca="1" si="3"/>
        <v>0</v>
      </c>
      <c r="T21" s="20">
        <f t="shared" ca="1" si="4"/>
        <v>0</v>
      </c>
      <c r="U21" s="20">
        <f t="shared" ca="1" si="5"/>
        <v>0</v>
      </c>
      <c r="V21" s="310">
        <f ca="1">T_Merger!_Salida_Abono_2</f>
        <v>0</v>
      </c>
      <c r="W21" s="20">
        <f t="shared" ca="1" si="6"/>
        <v>0</v>
      </c>
      <c r="X21"/>
      <c r="Y21" s="276">
        <v>0</v>
      </c>
      <c r="Z21" s="20">
        <f t="shared" ca="1" si="7"/>
        <v>0</v>
      </c>
      <c r="AA21" s="20">
        <f ca="1">_Abono_Sobrante + IF(_Ciclicas = 1, 0, _Sobrante_Acumulado_x_Ciclo _Anterior)</f>
        <v>0</v>
      </c>
      <c r="AB21" s="20">
        <f ca="1">IF(AND(_Ciclicas=1, _Ciclo&gt;1),  _Sobrante_Acumulado_x_Ciclo _Anterior,0)</f>
        <v>0</v>
      </c>
      <c r="AD21" s="14">
        <f t="shared" ca="1" si="8"/>
        <v>11</v>
      </c>
      <c r="AE21" s="14">
        <f t="shared" ca="1" si="9"/>
        <v>2</v>
      </c>
      <c r="AF21" s="14">
        <f t="shared" ca="1" si="10"/>
        <v>11</v>
      </c>
      <c r="AG21" s="14">
        <f ca="1">MIN(_Ciclicas_Remanentes _Actual, _Remanentes _Actual)</f>
        <v>11</v>
      </c>
      <c r="AH21" s="32">
        <f t="shared" ca="1" si="11"/>
        <v>1</v>
      </c>
      <c r="AJ21" s="20">
        <f t="shared" ca="1" si="12"/>
        <v>0</v>
      </c>
      <c r="AK21" s="97">
        <f t="shared" ca="1" si="13"/>
        <v>0</v>
      </c>
      <c r="AM21" s="97">
        <f ca="1">MAX( _Saldo_Final_Original _Anterior + _Saldo_Ciclico, 0)</f>
        <v>0</v>
      </c>
      <c r="AN21" s="20">
        <f t="shared" ca="1" si="14"/>
        <v>0</v>
      </c>
      <c r="AO21" s="20">
        <f t="shared" ca="1" si="15"/>
        <v>0</v>
      </c>
      <c r="AP21" s="20">
        <f t="shared" ca="1" si="16"/>
        <v>0</v>
      </c>
      <c r="AQ21" s="20">
        <f t="shared" ca="1" si="17"/>
        <v>0</v>
      </c>
      <c r="AR21" s="335">
        <f ca="1">MAX( ((( _Pago_Fijo - (_Interes_Regular_Original * (1 + Iva.Intereses)) ))), _Stopper_Capital_Original _Actual )</f>
        <v>0</v>
      </c>
      <c r="AS21" s="97">
        <f ca="1">MAX(_Saldo_Inicial_Original _Actual - _Capital_Original _Actual, 0)</f>
        <v>0</v>
      </c>
      <c r="AT21"/>
      <c r="AU21" s="20">
        <f t="shared" ca="1" si="18"/>
        <v>0</v>
      </c>
      <c r="AV21" s="20">
        <f t="shared" ca="1" si="19"/>
        <v>0</v>
      </c>
      <c r="AW21" s="20">
        <f t="shared" ca="1" si="20"/>
        <v>0</v>
      </c>
      <c r="AX21" s="97">
        <f ca="1">IF( AND(_Abono_Anticipado _Anterior = 0, _Ciclicas &lt;&gt; 1 ), _Pago_Proyectado _Anterior, SUM(_Componentes_Pago_Proyectado _Actual))</f>
        <v>0</v>
      </c>
      <c r="AY21" s="335">
        <f t="shared" ca="1" si="21"/>
        <v>0</v>
      </c>
      <c r="AZ21" s="335">
        <f t="shared" ca="1" si="22"/>
        <v>0</v>
      </c>
      <c r="BB21" s="20">
        <f t="shared" ca="1" si="23"/>
        <v>0</v>
      </c>
      <c r="BC21" s="309">
        <f t="shared" si="24"/>
        <v>30</v>
      </c>
      <c r="BD21" s="20">
        <f t="shared" ca="1" si="25"/>
        <v>0</v>
      </c>
      <c r="BE21" s="97">
        <f t="shared" ref="BE21:BE52" ca="1" si="26">( _Capital_Original + _Interes_CAT - _Saldo_Ciclico)  * (_Amortizacion &lt;= Numero.Pagos)</f>
        <v>0</v>
      </c>
      <c r="BF21" s="14"/>
      <c r="BG21" s="14"/>
      <c r="BI21" s="44" t="s">
        <v>119</v>
      </c>
      <c r="BJ21" s="102" t="s">
        <v>128</v>
      </c>
      <c r="BR21" s="14"/>
      <c r="BS21" s="14"/>
      <c r="BT21" s="14"/>
      <c r="BU21" s="14"/>
      <c r="BV21" s="14"/>
      <c r="BY21" s="14"/>
      <c r="BZ21" s="14"/>
      <c r="CA21" s="14"/>
    </row>
    <row r="22" spans="2:79">
      <c r="B22" s="290" t="s">
        <v>1714</v>
      </c>
      <c r="C22" s="294">
        <f ca="1">'Configuración de Tablas'!H13</f>
        <v>0.129</v>
      </c>
      <c r="E22" s="102" t="s">
        <v>85</v>
      </c>
      <c r="F22" s="20">
        <f ca="1">-PPMT(Tasa.Por.Periodo*(1+Iva.Intereses),1,Periodos.Por.Ciclo,Monto.Financiar)</f>
        <v>0</v>
      </c>
      <c r="J22" s="14">
        <v>3</v>
      </c>
      <c r="L22" s="97">
        <f ca="1">MAX( _Saldo_Final _Anterior + _Saldo_Ciclico,0)</f>
        <v>0</v>
      </c>
      <c r="M22" s="97">
        <f ca="1">MIN( CHOOSE(Opcion.Abono, _Capital_Opcion_1, _Capital_Opcion_2, _Capital_Opcion_3) _Actual, _Saldo_Inicial _Actual)</f>
        <v>0</v>
      </c>
      <c r="N22" s="97">
        <f t="shared" ca="1" si="0"/>
        <v>0</v>
      </c>
      <c r="O22" s="309">
        <f ca="1">MAX( _Capital_Elegida _Actual, _Stopper_Capital _Actual)</f>
        <v>0</v>
      </c>
      <c r="P22" s="118">
        <f t="shared" ca="1" si="1"/>
        <v>0</v>
      </c>
      <c r="Q22" s="118">
        <f t="shared" ca="1" si="2"/>
        <v>0</v>
      </c>
      <c r="R22" s="309">
        <f>Fechas!_Dias_Interes_Pago</f>
        <v>30</v>
      </c>
      <c r="S22" s="20">
        <f t="shared" ca="1" si="3"/>
        <v>0</v>
      </c>
      <c r="T22" s="20">
        <f t="shared" ca="1" si="4"/>
        <v>0</v>
      </c>
      <c r="U22" s="20">
        <f t="shared" ca="1" si="5"/>
        <v>0</v>
      </c>
      <c r="V22" s="310">
        <f ca="1">T_Merger!_Salida_Abono_2</f>
        <v>0</v>
      </c>
      <c r="W22" s="20">
        <f t="shared" ca="1" si="6"/>
        <v>0</v>
      </c>
      <c r="X22"/>
      <c r="Y22" s="276">
        <v>0</v>
      </c>
      <c r="Z22" s="20">
        <f t="shared" ca="1" si="7"/>
        <v>0</v>
      </c>
      <c r="AA22" s="20">
        <f ca="1">_Abono_Sobrante + IF(_Ciclicas = 1, 0, _Sobrante_Acumulado_x_Ciclo _Anterior)</f>
        <v>0</v>
      </c>
      <c r="AB22" s="20">
        <f ca="1">IF(AND(_Ciclicas=1, _Ciclo&gt;1),  _Sobrante_Acumulado_x_Ciclo _Anterior,0)</f>
        <v>0</v>
      </c>
      <c r="AD22" s="14">
        <f t="shared" ca="1" si="8"/>
        <v>10</v>
      </c>
      <c r="AE22" s="14">
        <f t="shared" ca="1" si="9"/>
        <v>3</v>
      </c>
      <c r="AF22" s="14">
        <f t="shared" ca="1" si="10"/>
        <v>10</v>
      </c>
      <c r="AG22" s="14">
        <f ca="1">MIN(_Ciclicas_Remanentes _Actual, _Remanentes _Actual)</f>
        <v>10</v>
      </c>
      <c r="AH22" s="32">
        <f t="shared" ca="1" si="11"/>
        <v>1</v>
      </c>
      <c r="AJ22" s="20">
        <f t="shared" ca="1" si="12"/>
        <v>0</v>
      </c>
      <c r="AK22" s="97">
        <f t="shared" ca="1" si="13"/>
        <v>0</v>
      </c>
      <c r="AM22" s="97">
        <f ca="1">MAX( _Saldo_Final_Original _Anterior + _Saldo_Ciclico, 0)</f>
        <v>0</v>
      </c>
      <c r="AN22" s="20">
        <f t="shared" ca="1" si="14"/>
        <v>0</v>
      </c>
      <c r="AO22" s="20">
        <f t="shared" ca="1" si="15"/>
        <v>0</v>
      </c>
      <c r="AP22" s="20">
        <f t="shared" ca="1" si="16"/>
        <v>0</v>
      </c>
      <c r="AQ22" s="20">
        <f t="shared" ca="1" si="17"/>
        <v>0</v>
      </c>
      <c r="AR22" s="335">
        <f ca="1">MAX( ((( _Pago_Fijo - (_Interes_Regular_Original * (1 + Iva.Intereses)) ))), _Stopper_Capital_Original _Actual )</f>
        <v>0</v>
      </c>
      <c r="AS22" s="97">
        <f ca="1">MAX(_Saldo_Inicial_Original _Actual - _Capital_Original _Actual, 0)</f>
        <v>0</v>
      </c>
      <c r="AT22"/>
      <c r="AU22" s="20">
        <f t="shared" ca="1" si="18"/>
        <v>0</v>
      </c>
      <c r="AV22" s="20">
        <f t="shared" ca="1" si="19"/>
        <v>0</v>
      </c>
      <c r="AW22" s="20">
        <f t="shared" ca="1" si="20"/>
        <v>0</v>
      </c>
      <c r="AX22" s="97">
        <f ca="1">IF( AND(_Abono_Anticipado _Anterior = 0, _Ciclicas &lt;&gt; 1 ), _Pago_Proyectado _Anterior, SUM(_Componentes_Pago_Proyectado _Actual))</f>
        <v>0</v>
      </c>
      <c r="AY22" s="335">
        <f t="shared" ca="1" si="21"/>
        <v>0</v>
      </c>
      <c r="AZ22" s="335">
        <f t="shared" ca="1" si="22"/>
        <v>0</v>
      </c>
      <c r="BB22" s="20">
        <f t="shared" ca="1" si="23"/>
        <v>0</v>
      </c>
      <c r="BC22" s="309">
        <f t="shared" si="24"/>
        <v>30</v>
      </c>
      <c r="BD22" s="20">
        <f t="shared" ca="1" si="25"/>
        <v>0</v>
      </c>
      <c r="BE22" s="97">
        <f t="shared" ca="1" si="26"/>
        <v>0</v>
      </c>
      <c r="BF22" s="14"/>
      <c r="BG22" s="14"/>
      <c r="BI22" s="44"/>
      <c r="BJ22" s="102" t="s">
        <v>129</v>
      </c>
      <c r="BR22" s="14"/>
      <c r="BS22" s="14"/>
      <c r="BT22" s="14"/>
      <c r="BU22" s="14"/>
      <c r="BV22" s="14"/>
      <c r="BY22" s="14"/>
      <c r="BZ22" s="14"/>
      <c r="CA22" s="14"/>
    </row>
    <row r="23" spans="2:79">
      <c r="B23" s="290" t="s">
        <v>38</v>
      </c>
      <c r="C23" s="288">
        <f>'Configuración de Tablas'!H14</f>
        <v>360</v>
      </c>
      <c r="E23" s="102" t="s">
        <v>87</v>
      </c>
      <c r="F23" s="20">
        <f ca="1">-IPMT(Tasa.Diaria.Por.Periodo*(1+Iva.Intereses),1,Periodos.Por.Ciclo,Monto.Financiar)</f>
        <v>0</v>
      </c>
      <c r="J23" s="14">
        <v>4</v>
      </c>
      <c r="L23" s="97">
        <f ca="1">MAX( _Saldo_Final _Anterior + _Saldo_Ciclico,0)</f>
        <v>0</v>
      </c>
      <c r="M23" s="97">
        <f ca="1">MIN( CHOOSE(Opcion.Abono, _Capital_Opcion_1, _Capital_Opcion_2, _Capital_Opcion_3) _Actual, _Saldo_Inicial _Actual)</f>
        <v>0</v>
      </c>
      <c r="N23" s="97">
        <f t="shared" ca="1" si="0"/>
        <v>0</v>
      </c>
      <c r="O23" s="309">
        <f ca="1">MAX( _Capital_Elegida _Actual, _Stopper_Capital _Actual)</f>
        <v>0</v>
      </c>
      <c r="P23" s="118">
        <f t="shared" ca="1" si="1"/>
        <v>0</v>
      </c>
      <c r="Q23" s="118">
        <f t="shared" ca="1" si="2"/>
        <v>0</v>
      </c>
      <c r="R23" s="309">
        <f>Fechas!_Dias_Interes_Pago</f>
        <v>30</v>
      </c>
      <c r="S23" s="20">
        <f t="shared" ca="1" si="3"/>
        <v>0</v>
      </c>
      <c r="T23" s="20">
        <f t="shared" ca="1" si="4"/>
        <v>0</v>
      </c>
      <c r="U23" s="20">
        <f t="shared" ca="1" si="5"/>
        <v>0</v>
      </c>
      <c r="V23" s="310">
        <f ca="1">T_Merger!_Salida_Abono_2</f>
        <v>0</v>
      </c>
      <c r="W23" s="20">
        <f t="shared" ca="1" si="6"/>
        <v>0</v>
      </c>
      <c r="X23"/>
      <c r="Y23" s="276">
        <v>0</v>
      </c>
      <c r="Z23" s="20">
        <f t="shared" ca="1" si="7"/>
        <v>0</v>
      </c>
      <c r="AA23" s="20">
        <f ca="1">_Abono_Sobrante + IF(_Ciclicas = 1, 0, _Sobrante_Acumulado_x_Ciclo _Anterior)</f>
        <v>0</v>
      </c>
      <c r="AB23" s="20">
        <f ca="1">IF(AND(_Ciclicas=1, _Ciclo&gt;1),  _Sobrante_Acumulado_x_Ciclo _Anterior,0)</f>
        <v>0</v>
      </c>
      <c r="AD23" s="14">
        <f t="shared" ca="1" si="8"/>
        <v>9</v>
      </c>
      <c r="AE23" s="14">
        <f t="shared" ca="1" si="9"/>
        <v>4</v>
      </c>
      <c r="AF23" s="14">
        <f t="shared" ca="1" si="10"/>
        <v>9</v>
      </c>
      <c r="AG23" s="14">
        <f ca="1">MIN(_Ciclicas_Remanentes _Actual, _Remanentes _Actual)</f>
        <v>9</v>
      </c>
      <c r="AH23" s="32">
        <f t="shared" ca="1" si="11"/>
        <v>1</v>
      </c>
      <c r="AJ23" s="20">
        <f t="shared" ca="1" si="12"/>
        <v>0</v>
      </c>
      <c r="AK23" s="97">
        <f t="shared" ca="1" si="13"/>
        <v>0</v>
      </c>
      <c r="AM23" s="97">
        <f ca="1">MAX( _Saldo_Final_Original _Anterior + _Saldo_Ciclico, 0)</f>
        <v>0</v>
      </c>
      <c r="AN23" s="20">
        <f t="shared" ca="1" si="14"/>
        <v>0</v>
      </c>
      <c r="AO23" s="20">
        <f t="shared" ca="1" si="15"/>
        <v>0</v>
      </c>
      <c r="AP23" s="20">
        <f t="shared" ca="1" si="16"/>
        <v>0</v>
      </c>
      <c r="AQ23" s="20">
        <f t="shared" ca="1" si="17"/>
        <v>0</v>
      </c>
      <c r="AR23" s="335">
        <f ca="1">MAX( ((( _Pago_Fijo - (_Interes_Regular_Original * (1 + Iva.Intereses)) ))), _Stopper_Capital_Original _Actual )</f>
        <v>0</v>
      </c>
      <c r="AS23" s="97">
        <f ca="1">MAX(_Saldo_Inicial_Original _Actual - _Capital_Original _Actual, 0)</f>
        <v>0</v>
      </c>
      <c r="AT23"/>
      <c r="AU23" s="20">
        <f t="shared" ca="1" si="18"/>
        <v>0</v>
      </c>
      <c r="AV23" s="20">
        <f t="shared" ca="1" si="19"/>
        <v>0</v>
      </c>
      <c r="AW23" s="20">
        <f t="shared" ca="1" si="20"/>
        <v>0</v>
      </c>
      <c r="AX23" s="97">
        <f ca="1">IF( AND(_Abono_Anticipado _Anterior = 0, _Ciclicas &lt;&gt; 1 ), _Pago_Proyectado _Anterior, SUM(_Componentes_Pago_Proyectado _Actual))</f>
        <v>0</v>
      </c>
      <c r="AY23" s="335">
        <f t="shared" ca="1" si="21"/>
        <v>0</v>
      </c>
      <c r="AZ23" s="335">
        <f t="shared" ca="1" si="22"/>
        <v>0</v>
      </c>
      <c r="BB23" s="20">
        <f t="shared" ca="1" si="23"/>
        <v>0</v>
      </c>
      <c r="BC23" s="309">
        <f t="shared" si="24"/>
        <v>30</v>
      </c>
      <c r="BD23" s="20">
        <f t="shared" ca="1" si="25"/>
        <v>0</v>
      </c>
      <c r="BE23" s="97">
        <f t="shared" ca="1" si="26"/>
        <v>0</v>
      </c>
      <c r="BF23" s="14"/>
      <c r="BG23" s="14"/>
      <c r="BI23" s="44"/>
      <c r="BJ23" s="102" t="s">
        <v>130</v>
      </c>
      <c r="BR23" s="14"/>
      <c r="BS23" s="14"/>
      <c r="BT23" s="14"/>
      <c r="BU23" s="14"/>
      <c r="BV23" s="14"/>
      <c r="BY23" s="14"/>
      <c r="BZ23" s="14"/>
      <c r="CA23" s="14"/>
    </row>
    <row r="24" spans="2:79">
      <c r="B24" s="102" t="s">
        <v>66</v>
      </c>
      <c r="C24" s="331" t="str">
        <f>'Configuración de Tablas'!H15</f>
        <v>Fechas!_Dias_Interes_Pago</v>
      </c>
      <c r="E24" s="99" t="s">
        <v>89</v>
      </c>
      <c r="F24" s="20">
        <f ca="1">SUM(Componentes.Pago.Fijo)</f>
        <v>0</v>
      </c>
      <c r="J24" s="14">
        <v>5</v>
      </c>
      <c r="L24" s="97">
        <f ca="1">MAX( _Saldo_Final _Anterior + _Saldo_Ciclico,0)</f>
        <v>0</v>
      </c>
      <c r="M24" s="97">
        <f ca="1">MIN( CHOOSE(Opcion.Abono, _Capital_Opcion_1, _Capital_Opcion_2, _Capital_Opcion_3) _Actual, _Saldo_Inicial _Actual)</f>
        <v>0</v>
      </c>
      <c r="N24" s="97">
        <f t="shared" ca="1" si="0"/>
        <v>0</v>
      </c>
      <c r="O24" s="309">
        <f ca="1">MAX( _Capital_Elegida _Actual, _Stopper_Capital _Actual)</f>
        <v>0</v>
      </c>
      <c r="P24" s="118">
        <f t="shared" ca="1" si="1"/>
        <v>0</v>
      </c>
      <c r="Q24" s="118">
        <f t="shared" ca="1" si="2"/>
        <v>0</v>
      </c>
      <c r="R24" s="309">
        <f>Fechas!_Dias_Interes_Pago</f>
        <v>30</v>
      </c>
      <c r="S24" s="20">
        <f t="shared" ca="1" si="3"/>
        <v>0</v>
      </c>
      <c r="T24" s="20">
        <f t="shared" ca="1" si="4"/>
        <v>0</v>
      </c>
      <c r="U24" s="20">
        <f t="shared" ca="1" si="5"/>
        <v>0</v>
      </c>
      <c r="V24" s="310">
        <f ca="1">T_Merger!_Salida_Abono_2</f>
        <v>0</v>
      </c>
      <c r="W24" s="20">
        <f t="shared" ca="1" si="6"/>
        <v>0</v>
      </c>
      <c r="X24"/>
      <c r="Y24" s="276">
        <v>0</v>
      </c>
      <c r="Z24" s="20">
        <f t="shared" ca="1" si="7"/>
        <v>0</v>
      </c>
      <c r="AA24" s="20">
        <f ca="1">_Abono_Sobrante + IF(_Ciclicas = 1, 0, _Sobrante_Acumulado_x_Ciclo _Anterior)</f>
        <v>0</v>
      </c>
      <c r="AB24" s="20">
        <f ca="1">IF(AND(_Ciclicas=1, _Ciclo&gt;1),  _Sobrante_Acumulado_x_Ciclo _Anterior,0)</f>
        <v>0</v>
      </c>
      <c r="AD24" s="14">
        <f t="shared" ca="1" si="8"/>
        <v>8</v>
      </c>
      <c r="AE24" s="14">
        <f t="shared" ca="1" si="9"/>
        <v>5</v>
      </c>
      <c r="AF24" s="14">
        <f t="shared" ca="1" si="10"/>
        <v>8</v>
      </c>
      <c r="AG24" s="14">
        <f ca="1">MIN(_Ciclicas_Remanentes _Actual, _Remanentes _Actual)</f>
        <v>8</v>
      </c>
      <c r="AH24" s="32">
        <f t="shared" ca="1" si="11"/>
        <v>1</v>
      </c>
      <c r="AJ24" s="20">
        <f t="shared" ca="1" si="12"/>
        <v>0</v>
      </c>
      <c r="AK24" s="97">
        <f t="shared" ca="1" si="13"/>
        <v>0</v>
      </c>
      <c r="AM24" s="97">
        <f ca="1">MAX( _Saldo_Final_Original _Anterior + _Saldo_Ciclico, 0)</f>
        <v>0</v>
      </c>
      <c r="AN24" s="20">
        <f t="shared" ca="1" si="14"/>
        <v>0</v>
      </c>
      <c r="AO24" s="20">
        <f t="shared" ca="1" si="15"/>
        <v>0</v>
      </c>
      <c r="AP24" s="20">
        <f t="shared" ca="1" si="16"/>
        <v>0</v>
      </c>
      <c r="AQ24" s="20">
        <f t="shared" ca="1" si="17"/>
        <v>0</v>
      </c>
      <c r="AR24" s="335">
        <f ca="1">MAX( ((( _Pago_Fijo - (_Interes_Regular_Original * (1 + Iva.Intereses)) ))), _Stopper_Capital_Original _Actual )</f>
        <v>0</v>
      </c>
      <c r="AS24" s="97">
        <f ca="1">MAX(_Saldo_Inicial_Original _Actual - _Capital_Original _Actual, 0)</f>
        <v>0</v>
      </c>
      <c r="AT24"/>
      <c r="AU24" s="20">
        <f t="shared" ca="1" si="18"/>
        <v>0</v>
      </c>
      <c r="AV24" s="20">
        <f t="shared" ca="1" si="19"/>
        <v>0</v>
      </c>
      <c r="AW24" s="20">
        <f t="shared" ca="1" si="20"/>
        <v>0</v>
      </c>
      <c r="AX24" s="97">
        <f ca="1">IF( AND(_Abono_Anticipado _Anterior = 0, _Ciclicas &lt;&gt; 1 ), _Pago_Proyectado _Anterior, SUM(_Componentes_Pago_Proyectado _Actual))</f>
        <v>0</v>
      </c>
      <c r="AY24" s="335">
        <f t="shared" ca="1" si="21"/>
        <v>0</v>
      </c>
      <c r="AZ24" s="335">
        <f t="shared" ca="1" si="22"/>
        <v>0</v>
      </c>
      <c r="BB24" s="20">
        <f t="shared" ca="1" si="23"/>
        <v>0</v>
      </c>
      <c r="BC24" s="309">
        <f t="shared" si="24"/>
        <v>30</v>
      </c>
      <c r="BD24" s="20">
        <f t="shared" ca="1" si="25"/>
        <v>0</v>
      </c>
      <c r="BE24" s="97">
        <f t="shared" ca="1" si="26"/>
        <v>0</v>
      </c>
      <c r="BF24" s="14"/>
      <c r="BG24" s="14"/>
      <c r="BI24" s="44"/>
      <c r="BJ24" s="102" t="s">
        <v>131</v>
      </c>
      <c r="BR24" s="14"/>
      <c r="BS24" s="14"/>
      <c r="BT24" s="14"/>
      <c r="BU24" s="14"/>
      <c r="BV24" s="14"/>
      <c r="BY24" s="14"/>
      <c r="BZ24" s="14"/>
      <c r="CA24" s="14"/>
    </row>
    <row r="25" spans="2:79">
      <c r="B25" s="102" t="s">
        <v>67</v>
      </c>
      <c r="C25" s="295" t="b">
        <f>'Configuración de Tablas'!H16</f>
        <v>1</v>
      </c>
      <c r="J25" s="14">
        <v>6</v>
      </c>
      <c r="L25" s="97">
        <f ca="1">MAX( _Saldo_Final _Anterior + _Saldo_Ciclico,0)</f>
        <v>0</v>
      </c>
      <c r="M25" s="97">
        <f ca="1">MIN( CHOOSE(Opcion.Abono, _Capital_Opcion_1, _Capital_Opcion_2, _Capital_Opcion_3) _Actual, _Saldo_Inicial _Actual)</f>
        <v>0</v>
      </c>
      <c r="N25" s="97">
        <f t="shared" ca="1" si="0"/>
        <v>0</v>
      </c>
      <c r="O25" s="309">
        <f ca="1">MAX( _Capital_Elegida _Actual, _Stopper_Capital _Actual)</f>
        <v>0</v>
      </c>
      <c r="P25" s="118">
        <f t="shared" ca="1" si="1"/>
        <v>0</v>
      </c>
      <c r="Q25" s="118">
        <f t="shared" ca="1" si="2"/>
        <v>0</v>
      </c>
      <c r="R25" s="309">
        <f>Fechas!_Dias_Interes_Pago</f>
        <v>30</v>
      </c>
      <c r="S25" s="20">
        <f t="shared" ca="1" si="3"/>
        <v>0</v>
      </c>
      <c r="T25" s="20">
        <f t="shared" ca="1" si="4"/>
        <v>0</v>
      </c>
      <c r="U25" s="20">
        <f t="shared" ca="1" si="5"/>
        <v>0</v>
      </c>
      <c r="V25" s="310">
        <f ca="1">T_Merger!_Salida_Abono_2</f>
        <v>0</v>
      </c>
      <c r="W25" s="20">
        <f t="shared" ca="1" si="6"/>
        <v>0</v>
      </c>
      <c r="X25"/>
      <c r="Y25" s="276">
        <v>0</v>
      </c>
      <c r="Z25" s="20">
        <f t="shared" ca="1" si="7"/>
        <v>0</v>
      </c>
      <c r="AA25" s="20">
        <f ca="1">_Abono_Sobrante + IF(_Ciclicas = 1, 0, _Sobrante_Acumulado_x_Ciclo _Anterior)</f>
        <v>0</v>
      </c>
      <c r="AB25" s="20">
        <f ca="1">IF(AND(_Ciclicas=1, _Ciclo&gt;1),  _Sobrante_Acumulado_x_Ciclo _Anterior,0)</f>
        <v>0</v>
      </c>
      <c r="AD25" s="14">
        <f t="shared" ca="1" si="8"/>
        <v>7</v>
      </c>
      <c r="AE25" s="14">
        <f t="shared" ca="1" si="9"/>
        <v>6</v>
      </c>
      <c r="AF25" s="14">
        <f t="shared" ca="1" si="10"/>
        <v>7</v>
      </c>
      <c r="AG25" s="14">
        <f ca="1">MIN(_Ciclicas_Remanentes _Actual, _Remanentes _Actual)</f>
        <v>7</v>
      </c>
      <c r="AH25" s="32">
        <f t="shared" ca="1" si="11"/>
        <v>1</v>
      </c>
      <c r="AJ25" s="20">
        <f t="shared" ca="1" si="12"/>
        <v>0</v>
      </c>
      <c r="AK25" s="97">
        <f t="shared" ca="1" si="13"/>
        <v>0</v>
      </c>
      <c r="AM25" s="97">
        <f ca="1">MAX( _Saldo_Final_Original _Anterior + _Saldo_Ciclico, 0)</f>
        <v>0</v>
      </c>
      <c r="AN25" s="20">
        <f t="shared" ca="1" si="14"/>
        <v>0</v>
      </c>
      <c r="AO25" s="20">
        <f t="shared" ca="1" si="15"/>
        <v>0</v>
      </c>
      <c r="AP25" s="20">
        <f t="shared" ca="1" si="16"/>
        <v>0</v>
      </c>
      <c r="AQ25" s="20">
        <f t="shared" ca="1" si="17"/>
        <v>0</v>
      </c>
      <c r="AR25" s="335">
        <f ca="1">MAX( ((( _Pago_Fijo - (_Interes_Regular_Original * (1 + Iva.Intereses)) ))), _Stopper_Capital_Original _Actual )</f>
        <v>0</v>
      </c>
      <c r="AS25" s="97">
        <f ca="1">MAX(_Saldo_Inicial_Original _Actual - _Capital_Original _Actual, 0)</f>
        <v>0</v>
      </c>
      <c r="AT25"/>
      <c r="AU25" s="20">
        <f t="shared" ca="1" si="18"/>
        <v>0</v>
      </c>
      <c r="AV25" s="20">
        <f t="shared" ca="1" si="19"/>
        <v>0</v>
      </c>
      <c r="AW25" s="20">
        <f t="shared" ca="1" si="20"/>
        <v>0</v>
      </c>
      <c r="AX25" s="97">
        <f ca="1">IF( AND(_Abono_Anticipado _Anterior = 0, _Ciclicas &lt;&gt; 1 ), _Pago_Proyectado _Anterior, SUM(_Componentes_Pago_Proyectado _Actual))</f>
        <v>0</v>
      </c>
      <c r="AY25" s="335">
        <f t="shared" ca="1" si="21"/>
        <v>0</v>
      </c>
      <c r="AZ25" s="335">
        <f t="shared" ca="1" si="22"/>
        <v>0</v>
      </c>
      <c r="BB25" s="20">
        <f t="shared" ca="1" si="23"/>
        <v>0</v>
      </c>
      <c r="BC25" s="309">
        <f t="shared" si="24"/>
        <v>30</v>
      </c>
      <c r="BD25" s="20">
        <f t="shared" ca="1" si="25"/>
        <v>0</v>
      </c>
      <c r="BE25" s="97">
        <f t="shared" ca="1" si="26"/>
        <v>0</v>
      </c>
      <c r="BF25" s="14"/>
      <c r="BG25" s="14"/>
      <c r="BI25" s="44"/>
      <c r="BJ25" s="102" t="s">
        <v>132</v>
      </c>
      <c r="BR25" s="14"/>
      <c r="BS25" s="14"/>
      <c r="BT25" s="14"/>
      <c r="BU25" s="14"/>
      <c r="BV25" s="14"/>
      <c r="BY25" s="14"/>
      <c r="BZ25" s="14"/>
      <c r="CA25" s="14"/>
    </row>
    <row r="26" spans="2:79">
      <c r="B26" s="102" t="s">
        <v>134</v>
      </c>
      <c r="C26" s="288">
        <f ca="1">'Configuración de Tablas'!H17</f>
        <v>0</v>
      </c>
      <c r="E26" s="102" t="s">
        <v>91</v>
      </c>
      <c r="F26" s="20">
        <f ca="1">-PPMT(Tasa.Por.Periodo*(1+Iva.Intereses),1,Periodos.Por.Ciclo,Monto.Extra.Ciclo.1)</f>
        <v>0</v>
      </c>
      <c r="J26" s="14">
        <v>7</v>
      </c>
      <c r="L26" s="97">
        <f ca="1">MAX( _Saldo_Final _Anterior + _Saldo_Ciclico,0)</f>
        <v>0</v>
      </c>
      <c r="M26" s="97">
        <f ca="1">MIN( CHOOSE(Opcion.Abono, _Capital_Opcion_1, _Capital_Opcion_2, _Capital_Opcion_3) _Actual, _Saldo_Inicial _Actual)</f>
        <v>0</v>
      </c>
      <c r="N26" s="97">
        <f t="shared" ca="1" si="0"/>
        <v>0</v>
      </c>
      <c r="O26" s="309">
        <f ca="1">MAX( _Capital_Elegida _Actual, _Stopper_Capital _Actual)</f>
        <v>0</v>
      </c>
      <c r="P26" s="118">
        <f t="shared" ca="1" si="1"/>
        <v>0</v>
      </c>
      <c r="Q26" s="118">
        <f t="shared" ca="1" si="2"/>
        <v>0</v>
      </c>
      <c r="R26" s="309">
        <f>Fechas!_Dias_Interes_Pago</f>
        <v>30</v>
      </c>
      <c r="S26" s="20">
        <f t="shared" ca="1" si="3"/>
        <v>0</v>
      </c>
      <c r="T26" s="20">
        <f t="shared" ca="1" si="4"/>
        <v>0</v>
      </c>
      <c r="U26" s="20">
        <f t="shared" ca="1" si="5"/>
        <v>0</v>
      </c>
      <c r="V26" s="310">
        <f ca="1">T_Merger!_Salida_Abono_2</f>
        <v>0</v>
      </c>
      <c r="W26" s="20">
        <f t="shared" ca="1" si="6"/>
        <v>0</v>
      </c>
      <c r="X26"/>
      <c r="Y26" s="276">
        <v>0</v>
      </c>
      <c r="Z26" s="20">
        <f t="shared" ca="1" si="7"/>
        <v>0</v>
      </c>
      <c r="AA26" s="20">
        <f ca="1">_Abono_Sobrante + IF(_Ciclicas = 1, 0, _Sobrante_Acumulado_x_Ciclo _Anterior)</f>
        <v>0</v>
      </c>
      <c r="AB26" s="20">
        <f ca="1">IF(AND(_Ciclicas=1, _Ciclo&gt;1),  _Sobrante_Acumulado_x_Ciclo _Anterior,0)</f>
        <v>0</v>
      </c>
      <c r="AD26" s="14">
        <f t="shared" ca="1" si="8"/>
        <v>6</v>
      </c>
      <c r="AE26" s="14">
        <f t="shared" ca="1" si="9"/>
        <v>7</v>
      </c>
      <c r="AF26" s="14">
        <f t="shared" ca="1" si="10"/>
        <v>6</v>
      </c>
      <c r="AG26" s="14">
        <f ca="1">MIN(_Ciclicas_Remanentes _Actual, _Remanentes _Actual)</f>
        <v>6</v>
      </c>
      <c r="AH26" s="32">
        <f t="shared" ca="1" si="11"/>
        <v>1</v>
      </c>
      <c r="AJ26" s="20">
        <f t="shared" ca="1" si="12"/>
        <v>0</v>
      </c>
      <c r="AK26" s="97">
        <f t="shared" ca="1" si="13"/>
        <v>0</v>
      </c>
      <c r="AM26" s="97">
        <f ca="1">MAX( _Saldo_Final_Original _Anterior + _Saldo_Ciclico, 0)</f>
        <v>0</v>
      </c>
      <c r="AN26" s="20">
        <f t="shared" ca="1" si="14"/>
        <v>0</v>
      </c>
      <c r="AO26" s="20">
        <f t="shared" ca="1" si="15"/>
        <v>0</v>
      </c>
      <c r="AP26" s="20">
        <f t="shared" ca="1" si="16"/>
        <v>0</v>
      </c>
      <c r="AQ26" s="20">
        <f t="shared" ca="1" si="17"/>
        <v>0</v>
      </c>
      <c r="AR26" s="335">
        <f ca="1">MAX( ((( _Pago_Fijo - (_Interes_Regular_Original * (1 + Iva.Intereses)) ))), _Stopper_Capital_Original _Actual )</f>
        <v>0</v>
      </c>
      <c r="AS26" s="97">
        <f ca="1">MAX(_Saldo_Inicial_Original _Actual - _Capital_Original _Actual, 0)</f>
        <v>0</v>
      </c>
      <c r="AT26"/>
      <c r="AU26" s="20">
        <f t="shared" ca="1" si="18"/>
        <v>0</v>
      </c>
      <c r="AV26" s="20">
        <f t="shared" ca="1" si="19"/>
        <v>0</v>
      </c>
      <c r="AW26" s="20">
        <f t="shared" ca="1" si="20"/>
        <v>0</v>
      </c>
      <c r="AX26" s="97">
        <f ca="1">IF( AND(_Abono_Anticipado _Anterior = 0, _Ciclicas &lt;&gt; 1 ), _Pago_Proyectado _Anterior, SUM(_Componentes_Pago_Proyectado _Actual))</f>
        <v>0</v>
      </c>
      <c r="AY26" s="335">
        <f t="shared" ca="1" si="21"/>
        <v>0</v>
      </c>
      <c r="AZ26" s="335">
        <f t="shared" ca="1" si="22"/>
        <v>0</v>
      </c>
      <c r="BB26" s="20">
        <f t="shared" ca="1" si="23"/>
        <v>0</v>
      </c>
      <c r="BC26" s="309">
        <f t="shared" si="24"/>
        <v>30</v>
      </c>
      <c r="BD26" s="20">
        <f t="shared" ca="1" si="25"/>
        <v>0</v>
      </c>
      <c r="BE26" s="97">
        <f t="shared" ca="1" si="26"/>
        <v>0</v>
      </c>
      <c r="BF26" s="14"/>
      <c r="BG26" s="14"/>
      <c r="BI26" s="44"/>
      <c r="BJ26" s="102" t="s">
        <v>133</v>
      </c>
      <c r="BR26" s="14"/>
      <c r="BS26" s="14"/>
      <c r="BT26" s="14"/>
      <c r="BU26" s="14"/>
      <c r="BV26" s="14"/>
      <c r="BY26" s="14"/>
      <c r="BZ26" s="14"/>
      <c r="CA26" s="14"/>
    </row>
    <row r="27" spans="2:79">
      <c r="B27" s="290" t="s">
        <v>1725</v>
      </c>
      <c r="C27" s="288">
        <f ca="1">'Configuración de Tablas'!H18</f>
        <v>1</v>
      </c>
      <c r="E27" s="102" t="s">
        <v>92</v>
      </c>
      <c r="F27" s="20">
        <f ca="1">-IPMT(Tasa.Diaria.Por.Periodo*(1+Iva.Intereses),1,Periodos.Por.Ciclo,Monto.Extra.Ciclo.1)</f>
        <v>0</v>
      </c>
      <c r="J27" s="14">
        <v>8</v>
      </c>
      <c r="L27" s="97">
        <f ca="1">MAX( _Saldo_Final _Anterior + _Saldo_Ciclico,0)</f>
        <v>0</v>
      </c>
      <c r="M27" s="97">
        <f ca="1">MIN( CHOOSE(Opcion.Abono, _Capital_Opcion_1, _Capital_Opcion_2, _Capital_Opcion_3) _Actual, _Saldo_Inicial _Actual)</f>
        <v>0</v>
      </c>
      <c r="N27" s="97">
        <f t="shared" ca="1" si="0"/>
        <v>0</v>
      </c>
      <c r="O27" s="309">
        <f ca="1">MAX( _Capital_Elegida _Actual, _Stopper_Capital _Actual)</f>
        <v>0</v>
      </c>
      <c r="P27" s="118">
        <f t="shared" ca="1" si="1"/>
        <v>0</v>
      </c>
      <c r="Q27" s="118">
        <f t="shared" ca="1" si="2"/>
        <v>0</v>
      </c>
      <c r="R27" s="309">
        <f>Fechas!_Dias_Interes_Pago</f>
        <v>30</v>
      </c>
      <c r="S27" s="20">
        <f t="shared" ca="1" si="3"/>
        <v>0</v>
      </c>
      <c r="T27" s="20">
        <f t="shared" ca="1" si="4"/>
        <v>0</v>
      </c>
      <c r="U27" s="20">
        <f t="shared" ca="1" si="5"/>
        <v>0</v>
      </c>
      <c r="V27" s="310">
        <f ca="1">T_Merger!_Salida_Abono_2</f>
        <v>0</v>
      </c>
      <c r="W27" s="20">
        <f t="shared" ca="1" si="6"/>
        <v>0</v>
      </c>
      <c r="X27"/>
      <c r="Y27" s="276">
        <v>0</v>
      </c>
      <c r="Z27" s="20">
        <f t="shared" ca="1" si="7"/>
        <v>0</v>
      </c>
      <c r="AA27" s="20">
        <f ca="1">_Abono_Sobrante + IF(_Ciclicas = 1, 0, _Sobrante_Acumulado_x_Ciclo _Anterior)</f>
        <v>0</v>
      </c>
      <c r="AB27" s="20">
        <f ca="1">IF(AND(_Ciclicas=1, _Ciclo&gt;1),  _Sobrante_Acumulado_x_Ciclo _Anterior,0)</f>
        <v>0</v>
      </c>
      <c r="AD27" s="14">
        <f t="shared" ca="1" si="8"/>
        <v>5</v>
      </c>
      <c r="AE27" s="14">
        <f t="shared" ca="1" si="9"/>
        <v>8</v>
      </c>
      <c r="AF27" s="14">
        <f t="shared" ca="1" si="10"/>
        <v>5</v>
      </c>
      <c r="AG27" s="14">
        <f ca="1">MIN(_Ciclicas_Remanentes _Actual, _Remanentes _Actual)</f>
        <v>5</v>
      </c>
      <c r="AH27" s="32">
        <f t="shared" ca="1" si="11"/>
        <v>1</v>
      </c>
      <c r="AJ27" s="20">
        <f t="shared" ca="1" si="12"/>
        <v>0</v>
      </c>
      <c r="AK27" s="97">
        <f t="shared" ca="1" si="13"/>
        <v>0</v>
      </c>
      <c r="AM27" s="97">
        <f ca="1">MAX( _Saldo_Final_Original _Anterior + _Saldo_Ciclico, 0)</f>
        <v>0</v>
      </c>
      <c r="AN27" s="20">
        <f t="shared" ca="1" si="14"/>
        <v>0</v>
      </c>
      <c r="AO27" s="20">
        <f t="shared" ca="1" si="15"/>
        <v>0</v>
      </c>
      <c r="AP27" s="20">
        <f t="shared" ca="1" si="16"/>
        <v>0</v>
      </c>
      <c r="AQ27" s="20">
        <f t="shared" ca="1" si="17"/>
        <v>0</v>
      </c>
      <c r="AR27" s="335">
        <f ca="1">MAX( ((( _Pago_Fijo - (_Interes_Regular_Original * (1 + Iva.Intereses)) ))), _Stopper_Capital_Original _Actual )</f>
        <v>0</v>
      </c>
      <c r="AS27" s="97">
        <f ca="1">MAX(_Saldo_Inicial_Original _Actual - _Capital_Original _Actual, 0)</f>
        <v>0</v>
      </c>
      <c r="AT27"/>
      <c r="AU27" s="20">
        <f t="shared" ca="1" si="18"/>
        <v>0</v>
      </c>
      <c r="AV27" s="20">
        <f t="shared" ca="1" si="19"/>
        <v>0</v>
      </c>
      <c r="AW27" s="20">
        <f t="shared" ca="1" si="20"/>
        <v>0</v>
      </c>
      <c r="AX27" s="97">
        <f ca="1">IF( AND(_Abono_Anticipado _Anterior = 0, _Ciclicas &lt;&gt; 1 ), _Pago_Proyectado _Anterior, SUM(_Componentes_Pago_Proyectado _Actual))</f>
        <v>0</v>
      </c>
      <c r="AY27" s="335">
        <f t="shared" ca="1" si="21"/>
        <v>0</v>
      </c>
      <c r="AZ27" s="335">
        <f t="shared" ca="1" si="22"/>
        <v>0</v>
      </c>
      <c r="BB27" s="20">
        <f t="shared" ca="1" si="23"/>
        <v>0</v>
      </c>
      <c r="BC27" s="309">
        <f t="shared" si="24"/>
        <v>30</v>
      </c>
      <c r="BD27" s="20">
        <f t="shared" ca="1" si="25"/>
        <v>0</v>
      </c>
      <c r="BE27" s="97">
        <f t="shared" ca="1" si="26"/>
        <v>0</v>
      </c>
      <c r="BF27" s="14"/>
      <c r="BG27" s="14"/>
      <c r="BI27" s="44" t="s">
        <v>117</v>
      </c>
      <c r="BJ27" s="102" t="s">
        <v>135</v>
      </c>
      <c r="BR27" s="14"/>
      <c r="BS27" s="14"/>
      <c r="BT27" s="14"/>
      <c r="BU27" s="14"/>
      <c r="BV27" s="14"/>
      <c r="BY27" s="14"/>
      <c r="BZ27" s="14"/>
      <c r="CA27" s="14"/>
    </row>
    <row r="28" spans="2:79">
      <c r="B28" s="102" t="s">
        <v>137</v>
      </c>
      <c r="C28" s="336" t="str">
        <f>'Configuración de Tablas'!H19</f>
        <v>T_Merger!_Salida_Abono_2</v>
      </c>
      <c r="E28" s="99" t="s">
        <v>93</v>
      </c>
      <c r="F28" s="20">
        <f ca="1">SUM(Componentes.Pago.Fijo.Inicial)</f>
        <v>0</v>
      </c>
      <c r="J28" s="14">
        <v>9</v>
      </c>
      <c r="L28" s="97">
        <f ca="1">MAX( _Saldo_Final _Anterior + _Saldo_Ciclico,0)</f>
        <v>0</v>
      </c>
      <c r="M28" s="97">
        <f ca="1">MIN( CHOOSE(Opcion.Abono, _Capital_Opcion_1, _Capital_Opcion_2, _Capital_Opcion_3) _Actual, _Saldo_Inicial _Actual)</f>
        <v>0</v>
      </c>
      <c r="N28" s="97">
        <f t="shared" ca="1" si="0"/>
        <v>0</v>
      </c>
      <c r="O28" s="309">
        <f ca="1">MAX( _Capital_Elegida _Actual, _Stopper_Capital _Actual)</f>
        <v>0</v>
      </c>
      <c r="P28" s="118">
        <f t="shared" ca="1" si="1"/>
        <v>0</v>
      </c>
      <c r="Q28" s="118">
        <f t="shared" ca="1" si="2"/>
        <v>0</v>
      </c>
      <c r="R28" s="309">
        <f>Fechas!_Dias_Interes_Pago</f>
        <v>30</v>
      </c>
      <c r="S28" s="20">
        <f t="shared" ca="1" si="3"/>
        <v>0</v>
      </c>
      <c r="T28" s="20">
        <f t="shared" ca="1" si="4"/>
        <v>0</v>
      </c>
      <c r="U28" s="20">
        <f t="shared" ca="1" si="5"/>
        <v>0</v>
      </c>
      <c r="V28" s="310">
        <f ca="1">T_Merger!_Salida_Abono_2</f>
        <v>0</v>
      </c>
      <c r="W28" s="20">
        <f t="shared" ca="1" si="6"/>
        <v>0</v>
      </c>
      <c r="X28"/>
      <c r="Y28" s="276">
        <v>0</v>
      </c>
      <c r="Z28" s="20">
        <f t="shared" ca="1" si="7"/>
        <v>0</v>
      </c>
      <c r="AA28" s="20">
        <f ca="1">_Abono_Sobrante + IF(_Ciclicas = 1, 0, _Sobrante_Acumulado_x_Ciclo _Anterior)</f>
        <v>0</v>
      </c>
      <c r="AB28" s="20">
        <f ca="1">IF(AND(_Ciclicas=1, _Ciclo&gt;1),  _Sobrante_Acumulado_x_Ciclo _Anterior,0)</f>
        <v>0</v>
      </c>
      <c r="AD28" s="14">
        <f t="shared" ca="1" si="8"/>
        <v>4</v>
      </c>
      <c r="AE28" s="14">
        <f t="shared" ca="1" si="9"/>
        <v>9</v>
      </c>
      <c r="AF28" s="14">
        <f t="shared" ca="1" si="10"/>
        <v>4</v>
      </c>
      <c r="AG28" s="14">
        <f ca="1">MIN(_Ciclicas_Remanentes _Actual, _Remanentes _Actual)</f>
        <v>4</v>
      </c>
      <c r="AH28" s="32">
        <f t="shared" ca="1" si="11"/>
        <v>1</v>
      </c>
      <c r="AJ28" s="20">
        <f t="shared" ca="1" si="12"/>
        <v>0</v>
      </c>
      <c r="AK28" s="97">
        <f t="shared" ca="1" si="13"/>
        <v>0</v>
      </c>
      <c r="AM28" s="97">
        <f ca="1">MAX( _Saldo_Final_Original _Anterior + _Saldo_Ciclico, 0)</f>
        <v>0</v>
      </c>
      <c r="AN28" s="20">
        <f t="shared" ca="1" si="14"/>
        <v>0</v>
      </c>
      <c r="AO28" s="20">
        <f t="shared" ca="1" si="15"/>
        <v>0</v>
      </c>
      <c r="AP28" s="20">
        <f t="shared" ca="1" si="16"/>
        <v>0</v>
      </c>
      <c r="AQ28" s="20">
        <f t="shared" ca="1" si="17"/>
        <v>0</v>
      </c>
      <c r="AR28" s="335">
        <f ca="1">MAX( ((( _Pago_Fijo - (_Interes_Regular_Original * (1 + Iva.Intereses)) ))), _Stopper_Capital_Original _Actual )</f>
        <v>0</v>
      </c>
      <c r="AS28" s="97">
        <f ca="1">MAX(_Saldo_Inicial_Original _Actual - _Capital_Original _Actual, 0)</f>
        <v>0</v>
      </c>
      <c r="AT28"/>
      <c r="AU28" s="20">
        <f t="shared" ca="1" si="18"/>
        <v>0</v>
      </c>
      <c r="AV28" s="20">
        <f t="shared" ca="1" si="19"/>
        <v>0</v>
      </c>
      <c r="AW28" s="20">
        <f t="shared" ca="1" si="20"/>
        <v>0</v>
      </c>
      <c r="AX28" s="97">
        <f ca="1">IF( AND(_Abono_Anticipado _Anterior = 0, _Ciclicas &lt;&gt; 1 ), _Pago_Proyectado _Anterior, SUM(_Componentes_Pago_Proyectado _Actual))</f>
        <v>0</v>
      </c>
      <c r="AY28" s="335">
        <f t="shared" ca="1" si="21"/>
        <v>0</v>
      </c>
      <c r="AZ28" s="335">
        <f t="shared" ca="1" si="22"/>
        <v>0</v>
      </c>
      <c r="BB28" s="20">
        <f t="shared" ca="1" si="23"/>
        <v>0</v>
      </c>
      <c r="BC28" s="309">
        <f t="shared" si="24"/>
        <v>30</v>
      </c>
      <c r="BD28" s="20">
        <f t="shared" ca="1" si="25"/>
        <v>0</v>
      </c>
      <c r="BE28" s="97">
        <f t="shared" ca="1" si="26"/>
        <v>0</v>
      </c>
      <c r="BF28" s="14"/>
      <c r="BG28" s="14"/>
      <c r="BI28" s="44" t="s">
        <v>180</v>
      </c>
      <c r="BJ28" s="102" t="s">
        <v>182</v>
      </c>
      <c r="BK28" s="32"/>
      <c r="BL28" s="32"/>
      <c r="BR28" s="14"/>
      <c r="BS28" s="14"/>
      <c r="BT28" s="14"/>
      <c r="BU28" s="14"/>
      <c r="BV28" s="14"/>
      <c r="BY28" s="14"/>
      <c r="BZ28" s="14"/>
      <c r="CA28" s="14"/>
    </row>
    <row r="29" spans="2:79">
      <c r="B29" s="102" t="s">
        <v>136</v>
      </c>
      <c r="C29" s="295" t="str">
        <f>'Configuración de Tablas'!H20</f>
        <v>-</v>
      </c>
      <c r="J29" s="14">
        <v>10</v>
      </c>
      <c r="L29" s="97">
        <f ca="1">MAX( _Saldo_Final _Anterior + _Saldo_Ciclico,0)</f>
        <v>0</v>
      </c>
      <c r="M29" s="97">
        <f ca="1">MIN( CHOOSE(Opcion.Abono, _Capital_Opcion_1, _Capital_Opcion_2, _Capital_Opcion_3) _Actual, _Saldo_Inicial _Actual)</f>
        <v>0</v>
      </c>
      <c r="N29" s="97">
        <f t="shared" ca="1" si="0"/>
        <v>0</v>
      </c>
      <c r="O29" s="309">
        <f ca="1">MAX( _Capital_Elegida _Actual, _Stopper_Capital _Actual)</f>
        <v>0</v>
      </c>
      <c r="P29" s="118">
        <f t="shared" ca="1" si="1"/>
        <v>0</v>
      </c>
      <c r="Q29" s="118">
        <f t="shared" ca="1" si="2"/>
        <v>0</v>
      </c>
      <c r="R29" s="309">
        <f>Fechas!_Dias_Interes_Pago</f>
        <v>30</v>
      </c>
      <c r="S29" s="20">
        <f t="shared" ca="1" si="3"/>
        <v>0</v>
      </c>
      <c r="T29" s="20">
        <f t="shared" ca="1" si="4"/>
        <v>0</v>
      </c>
      <c r="U29" s="20">
        <f t="shared" ca="1" si="5"/>
        <v>0</v>
      </c>
      <c r="V29" s="310">
        <f ca="1">T_Merger!_Salida_Abono_2</f>
        <v>0</v>
      </c>
      <c r="W29" s="20">
        <f t="shared" ca="1" si="6"/>
        <v>0</v>
      </c>
      <c r="X29"/>
      <c r="Y29" s="276">
        <v>0</v>
      </c>
      <c r="Z29" s="20">
        <f t="shared" ca="1" si="7"/>
        <v>0</v>
      </c>
      <c r="AA29" s="20">
        <f ca="1">_Abono_Sobrante + IF(_Ciclicas = 1, 0, _Sobrante_Acumulado_x_Ciclo _Anterior)</f>
        <v>0</v>
      </c>
      <c r="AB29" s="20">
        <f ca="1">IF(AND(_Ciclicas=1, _Ciclo&gt;1),  _Sobrante_Acumulado_x_Ciclo _Anterior,0)</f>
        <v>0</v>
      </c>
      <c r="AD29" s="14">
        <f t="shared" ca="1" si="8"/>
        <v>3</v>
      </c>
      <c r="AE29" s="14">
        <f t="shared" ca="1" si="9"/>
        <v>10</v>
      </c>
      <c r="AF29" s="14">
        <f t="shared" ca="1" si="10"/>
        <v>3</v>
      </c>
      <c r="AG29" s="14">
        <f ca="1">MIN(_Ciclicas_Remanentes _Actual, _Remanentes _Actual)</f>
        <v>3</v>
      </c>
      <c r="AH29" s="32">
        <f t="shared" ca="1" si="11"/>
        <v>1</v>
      </c>
      <c r="AJ29" s="20">
        <f t="shared" ca="1" si="12"/>
        <v>0</v>
      </c>
      <c r="AK29" s="97">
        <f t="shared" ca="1" si="13"/>
        <v>0</v>
      </c>
      <c r="AM29" s="97">
        <f ca="1">MAX( _Saldo_Final_Original _Anterior + _Saldo_Ciclico, 0)</f>
        <v>0</v>
      </c>
      <c r="AN29" s="20">
        <f t="shared" ca="1" si="14"/>
        <v>0</v>
      </c>
      <c r="AO29" s="20">
        <f t="shared" ca="1" si="15"/>
        <v>0</v>
      </c>
      <c r="AP29" s="20">
        <f t="shared" ca="1" si="16"/>
        <v>0</v>
      </c>
      <c r="AQ29" s="20">
        <f t="shared" ca="1" si="17"/>
        <v>0</v>
      </c>
      <c r="AR29" s="335">
        <f ca="1">MAX( ((( _Pago_Fijo - (_Interes_Regular_Original * (1 + Iva.Intereses)) ))), _Stopper_Capital_Original _Actual )</f>
        <v>0</v>
      </c>
      <c r="AS29" s="97">
        <f ca="1">MAX(_Saldo_Inicial_Original _Actual - _Capital_Original _Actual, 0)</f>
        <v>0</v>
      </c>
      <c r="AT29"/>
      <c r="AU29" s="20">
        <f t="shared" ca="1" si="18"/>
        <v>0</v>
      </c>
      <c r="AV29" s="20">
        <f t="shared" ca="1" si="19"/>
        <v>0</v>
      </c>
      <c r="AW29" s="20">
        <f t="shared" ca="1" si="20"/>
        <v>0</v>
      </c>
      <c r="AX29" s="97">
        <f ca="1">IF( AND(_Abono_Anticipado _Anterior = 0, _Ciclicas &lt;&gt; 1 ), _Pago_Proyectado _Anterior, SUM(_Componentes_Pago_Proyectado _Actual))</f>
        <v>0</v>
      </c>
      <c r="AY29" s="335">
        <f t="shared" ca="1" si="21"/>
        <v>0</v>
      </c>
      <c r="AZ29" s="335">
        <f t="shared" ca="1" si="22"/>
        <v>0</v>
      </c>
      <c r="BB29" s="20">
        <f t="shared" ca="1" si="23"/>
        <v>0</v>
      </c>
      <c r="BC29" s="309">
        <f t="shared" si="24"/>
        <v>30</v>
      </c>
      <c r="BD29" s="20">
        <f t="shared" ca="1" si="25"/>
        <v>0</v>
      </c>
      <c r="BE29" s="97">
        <f t="shared" ca="1" si="26"/>
        <v>0</v>
      </c>
      <c r="BF29" s="14"/>
      <c r="BG29" s="14"/>
      <c r="BI29" s="44"/>
      <c r="BJ29" s="102"/>
      <c r="BK29" s="32"/>
      <c r="BL29" s="32"/>
      <c r="BR29" s="14"/>
      <c r="BS29" s="14"/>
      <c r="BT29" s="14"/>
      <c r="BU29" s="14"/>
      <c r="BV29" s="14"/>
      <c r="BY29" s="14"/>
      <c r="BZ29" s="14"/>
      <c r="CA29" s="14"/>
    </row>
    <row r="30" spans="2:79">
      <c r="E30" s="311" t="s">
        <v>52</v>
      </c>
      <c r="F30" s="46" t="b">
        <v>0</v>
      </c>
      <c r="J30" s="14">
        <v>11</v>
      </c>
      <c r="L30" s="97">
        <f ca="1">MAX( _Saldo_Final _Anterior + _Saldo_Ciclico,0)</f>
        <v>0</v>
      </c>
      <c r="M30" s="97">
        <f ca="1">MIN( CHOOSE(Opcion.Abono, _Capital_Opcion_1, _Capital_Opcion_2, _Capital_Opcion_3) _Actual, _Saldo_Inicial _Actual)</f>
        <v>0</v>
      </c>
      <c r="N30" s="97">
        <f t="shared" ca="1" si="0"/>
        <v>0</v>
      </c>
      <c r="O30" s="309">
        <f ca="1">MAX( _Capital_Elegida _Actual, _Stopper_Capital _Actual)</f>
        <v>0</v>
      </c>
      <c r="P30" s="118">
        <f t="shared" ca="1" si="1"/>
        <v>0</v>
      </c>
      <c r="Q30" s="118">
        <f t="shared" ca="1" si="2"/>
        <v>0</v>
      </c>
      <c r="R30" s="309">
        <f>Fechas!_Dias_Interes_Pago</f>
        <v>30</v>
      </c>
      <c r="S30" s="20">
        <f t="shared" ca="1" si="3"/>
        <v>0</v>
      </c>
      <c r="T30" s="20">
        <f t="shared" ca="1" si="4"/>
        <v>0</v>
      </c>
      <c r="U30" s="20">
        <f t="shared" ca="1" si="5"/>
        <v>0</v>
      </c>
      <c r="V30" s="310">
        <f ca="1">T_Merger!_Salida_Abono_2</f>
        <v>0</v>
      </c>
      <c r="W30" s="20">
        <f t="shared" ca="1" si="6"/>
        <v>0</v>
      </c>
      <c r="X30"/>
      <c r="Y30" s="276">
        <v>0</v>
      </c>
      <c r="Z30" s="20">
        <f t="shared" ca="1" si="7"/>
        <v>0</v>
      </c>
      <c r="AA30" s="20">
        <f ca="1">_Abono_Sobrante + IF(_Ciclicas = 1, 0, _Sobrante_Acumulado_x_Ciclo _Anterior)</f>
        <v>0</v>
      </c>
      <c r="AB30" s="20">
        <f ca="1">IF(AND(_Ciclicas=1, _Ciclo&gt;1),  _Sobrante_Acumulado_x_Ciclo _Anterior,0)</f>
        <v>0</v>
      </c>
      <c r="AD30" s="14">
        <f t="shared" ca="1" si="8"/>
        <v>2</v>
      </c>
      <c r="AE30" s="14">
        <f t="shared" ca="1" si="9"/>
        <v>11</v>
      </c>
      <c r="AF30" s="14">
        <f t="shared" ca="1" si="10"/>
        <v>2</v>
      </c>
      <c r="AG30" s="14">
        <f ca="1">MIN(_Ciclicas_Remanentes _Actual, _Remanentes _Actual)</f>
        <v>2</v>
      </c>
      <c r="AH30" s="32">
        <f t="shared" ca="1" si="11"/>
        <v>1</v>
      </c>
      <c r="AJ30" s="20">
        <f t="shared" ca="1" si="12"/>
        <v>0</v>
      </c>
      <c r="AK30" s="97">
        <f t="shared" ca="1" si="13"/>
        <v>0</v>
      </c>
      <c r="AM30" s="97">
        <f ca="1">MAX( _Saldo_Final_Original _Anterior + _Saldo_Ciclico, 0)</f>
        <v>0</v>
      </c>
      <c r="AN30" s="20">
        <f t="shared" ca="1" si="14"/>
        <v>0</v>
      </c>
      <c r="AO30" s="20">
        <f t="shared" ca="1" si="15"/>
        <v>0</v>
      </c>
      <c r="AP30" s="20">
        <f t="shared" ca="1" si="16"/>
        <v>0</v>
      </c>
      <c r="AQ30" s="20">
        <f t="shared" ca="1" si="17"/>
        <v>0</v>
      </c>
      <c r="AR30" s="335">
        <f ca="1">MAX( ((( _Pago_Fijo - (_Interes_Regular_Original * (1 + Iva.Intereses)) ))), _Stopper_Capital_Original _Actual )</f>
        <v>0</v>
      </c>
      <c r="AS30" s="97">
        <f ca="1">MAX(_Saldo_Inicial_Original _Actual - _Capital_Original _Actual, 0)</f>
        <v>0</v>
      </c>
      <c r="AT30"/>
      <c r="AU30" s="20">
        <f t="shared" ca="1" si="18"/>
        <v>0</v>
      </c>
      <c r="AV30" s="20">
        <f t="shared" ca="1" si="19"/>
        <v>0</v>
      </c>
      <c r="AW30" s="20">
        <f t="shared" ca="1" si="20"/>
        <v>0</v>
      </c>
      <c r="AX30" s="97">
        <f ca="1">IF( AND(_Abono_Anticipado _Anterior = 0, _Ciclicas &lt;&gt; 1 ), _Pago_Proyectado _Anterior, SUM(_Componentes_Pago_Proyectado _Actual))</f>
        <v>0</v>
      </c>
      <c r="AY30" s="335">
        <f t="shared" ca="1" si="21"/>
        <v>0</v>
      </c>
      <c r="AZ30" s="335">
        <f t="shared" ca="1" si="22"/>
        <v>0</v>
      </c>
      <c r="BB30" s="20">
        <f t="shared" ca="1" si="23"/>
        <v>0</v>
      </c>
      <c r="BC30" s="309">
        <f t="shared" si="24"/>
        <v>30</v>
      </c>
      <c r="BD30" s="20">
        <f t="shared" ca="1" si="25"/>
        <v>0</v>
      </c>
      <c r="BE30" s="97">
        <f t="shared" ca="1" si="26"/>
        <v>0</v>
      </c>
      <c r="BF30" s="14"/>
      <c r="BG30" s="14"/>
      <c r="BI30" s="44"/>
      <c r="BJ30" s="102"/>
      <c r="BK30" s="32"/>
      <c r="BL30" s="32"/>
      <c r="BR30" s="14"/>
      <c r="BS30" s="14"/>
      <c r="BT30" s="14"/>
      <c r="BU30" s="14"/>
      <c r="BV30" s="14"/>
      <c r="BY30" s="14"/>
      <c r="BZ30" s="14"/>
      <c r="CA30" s="14"/>
    </row>
    <row r="31" spans="2:79">
      <c r="B31" s="135" t="s">
        <v>138</v>
      </c>
      <c r="C31" s="67"/>
      <c r="J31" s="14">
        <v>12</v>
      </c>
      <c r="L31" s="97">
        <f ca="1">MAX( _Saldo_Final _Anterior + _Saldo_Ciclico,0)</f>
        <v>0</v>
      </c>
      <c r="M31" s="97">
        <f ca="1">MIN( CHOOSE(Opcion.Abono, _Capital_Opcion_1, _Capital_Opcion_2, _Capital_Opcion_3) _Actual, _Saldo_Inicial _Actual)</f>
        <v>0</v>
      </c>
      <c r="N31" s="97">
        <f t="shared" ca="1" si="0"/>
        <v>0</v>
      </c>
      <c r="O31" s="309">
        <f ca="1">MAX( _Capital_Elegida _Actual, _Stopper_Capital _Actual)</f>
        <v>0</v>
      </c>
      <c r="P31" s="118">
        <f t="shared" ca="1" si="1"/>
        <v>0</v>
      </c>
      <c r="Q31" s="118">
        <f t="shared" ca="1" si="2"/>
        <v>0</v>
      </c>
      <c r="R31" s="309">
        <f>Fechas!_Dias_Interes_Pago</f>
        <v>30</v>
      </c>
      <c r="S31" s="20">
        <f t="shared" ca="1" si="3"/>
        <v>0</v>
      </c>
      <c r="T31" s="20">
        <f t="shared" ca="1" si="4"/>
        <v>0</v>
      </c>
      <c r="U31" s="20">
        <f t="shared" ca="1" si="5"/>
        <v>0</v>
      </c>
      <c r="V31" s="310">
        <f ca="1">T_Merger!_Salida_Abono_2</f>
        <v>0</v>
      </c>
      <c r="W31" s="20">
        <f t="shared" ca="1" si="6"/>
        <v>0</v>
      </c>
      <c r="X31"/>
      <c r="Y31" s="276">
        <v>0</v>
      </c>
      <c r="Z31" s="20">
        <f t="shared" ca="1" si="7"/>
        <v>0</v>
      </c>
      <c r="AA31" s="20">
        <f ca="1">_Abono_Sobrante + IF(_Ciclicas = 1, 0, _Sobrante_Acumulado_x_Ciclo _Anterior)</f>
        <v>0</v>
      </c>
      <c r="AB31" s="20">
        <f ca="1">IF(AND(_Ciclicas=1, _Ciclo&gt;1),  _Sobrante_Acumulado_x_Ciclo _Anterior,0)</f>
        <v>0</v>
      </c>
      <c r="AD31" s="14">
        <f t="shared" ca="1" si="8"/>
        <v>1</v>
      </c>
      <c r="AE31" s="14">
        <f t="shared" ca="1" si="9"/>
        <v>12</v>
      </c>
      <c r="AF31" s="14">
        <f t="shared" ca="1" si="10"/>
        <v>1</v>
      </c>
      <c r="AG31" s="14">
        <f ca="1">MIN(_Ciclicas_Remanentes _Actual, _Remanentes _Actual)</f>
        <v>1</v>
      </c>
      <c r="AH31" s="32">
        <f t="shared" ca="1" si="11"/>
        <v>1</v>
      </c>
      <c r="AJ31" s="20">
        <f t="shared" ca="1" si="12"/>
        <v>0</v>
      </c>
      <c r="AK31" s="97">
        <f t="shared" ca="1" si="13"/>
        <v>0</v>
      </c>
      <c r="AM31" s="97">
        <f ca="1">MAX( _Saldo_Final_Original _Anterior + _Saldo_Ciclico, 0)</f>
        <v>0</v>
      </c>
      <c r="AN31" s="20">
        <f t="shared" ca="1" si="14"/>
        <v>0</v>
      </c>
      <c r="AO31" s="20">
        <f t="shared" ca="1" si="15"/>
        <v>0</v>
      </c>
      <c r="AP31" s="20">
        <f t="shared" ca="1" si="16"/>
        <v>0</v>
      </c>
      <c r="AQ31" s="20">
        <f t="shared" ca="1" si="17"/>
        <v>0</v>
      </c>
      <c r="AR31" s="335">
        <f ca="1">MAX( ((( _Pago_Fijo - (_Interes_Regular_Original * (1 + Iva.Intereses)) ))), _Stopper_Capital_Original _Actual )</f>
        <v>0</v>
      </c>
      <c r="AS31" s="97">
        <f ca="1">MAX(_Saldo_Inicial_Original _Actual - _Capital_Original _Actual, 0)</f>
        <v>0</v>
      </c>
      <c r="AT31"/>
      <c r="AU31" s="20">
        <f t="shared" ca="1" si="18"/>
        <v>0</v>
      </c>
      <c r="AV31" s="20">
        <f t="shared" ca="1" si="19"/>
        <v>0</v>
      </c>
      <c r="AW31" s="20">
        <f t="shared" ca="1" si="20"/>
        <v>0</v>
      </c>
      <c r="AX31" s="97">
        <f ca="1">IF( AND(_Abono_Anticipado _Anterior = 0, _Ciclicas &lt;&gt; 1 ), _Pago_Proyectado _Anterior, SUM(_Componentes_Pago_Proyectado _Actual))</f>
        <v>0</v>
      </c>
      <c r="AY31" s="335">
        <f t="shared" ca="1" si="21"/>
        <v>0</v>
      </c>
      <c r="AZ31" s="335">
        <f t="shared" ca="1" si="22"/>
        <v>0</v>
      </c>
      <c r="BB31" s="20">
        <f t="shared" ca="1" si="23"/>
        <v>0</v>
      </c>
      <c r="BC31" s="309">
        <f t="shared" si="24"/>
        <v>30</v>
      </c>
      <c r="BD31" s="20">
        <f t="shared" ca="1" si="25"/>
        <v>0</v>
      </c>
      <c r="BE31" s="97">
        <f t="shared" ca="1" si="26"/>
        <v>0</v>
      </c>
      <c r="BF31" s="14"/>
      <c r="BG31" s="14"/>
      <c r="BI31" s="44"/>
      <c r="BJ31" s="102"/>
      <c r="BK31" s="32"/>
      <c r="BL31" s="32"/>
      <c r="BR31" s="14"/>
      <c r="BS31" s="14"/>
      <c r="BT31" s="14"/>
      <c r="BU31" s="14"/>
      <c r="BV31" s="14"/>
      <c r="BY31" s="14"/>
      <c r="BZ31" s="14"/>
      <c r="CA31" s="14"/>
    </row>
    <row r="32" spans="2:79">
      <c r="B32" s="102" t="s">
        <v>66</v>
      </c>
      <c r="C32" s="14" t="str">
        <f ca="1">IF(ISERROR(INDIRECT(Parametro.Rango.Dias.Periodo)), "Dias.Por.Periodo", Parametro.Rango.Dias.Periodo)</f>
        <v>Fechas!_Dias_Interes_Pago</v>
      </c>
      <c r="E32" s="296" t="s">
        <v>95</v>
      </c>
      <c r="F32" s="67"/>
      <c r="J32" s="14">
        <v>13</v>
      </c>
      <c r="L32" s="97">
        <f ca="1">MAX( _Saldo_Final _Anterior + _Saldo_Ciclico,0)</f>
        <v>0</v>
      </c>
      <c r="M32" s="97">
        <f ca="1">MIN( CHOOSE(Opcion.Abono, _Capital_Opcion_1, _Capital_Opcion_2, _Capital_Opcion_3) _Actual, _Saldo_Inicial _Actual)</f>
        <v>0</v>
      </c>
      <c r="N32" s="97">
        <f t="shared" ca="1" si="0"/>
        <v>0</v>
      </c>
      <c r="O32" s="309">
        <f ca="1">MAX( _Capital_Elegida _Actual, _Stopper_Capital _Actual)</f>
        <v>0</v>
      </c>
      <c r="P32" s="118">
        <f t="shared" ca="1" si="1"/>
        <v>0</v>
      </c>
      <c r="Q32" s="118">
        <f t="shared" ca="1" si="2"/>
        <v>0</v>
      </c>
      <c r="R32" s="309">
        <f>Fechas!_Dias_Interes_Pago</f>
        <v>30</v>
      </c>
      <c r="S32" s="20">
        <f t="shared" ca="1" si="3"/>
        <v>0</v>
      </c>
      <c r="T32" s="20">
        <f t="shared" ca="1" si="4"/>
        <v>0</v>
      </c>
      <c r="U32" s="20">
        <f t="shared" ca="1" si="5"/>
        <v>0</v>
      </c>
      <c r="V32" s="310">
        <f ca="1">T_Merger!_Salida_Abono_2</f>
        <v>0</v>
      </c>
      <c r="W32" s="20">
        <f t="shared" ca="1" si="6"/>
        <v>0</v>
      </c>
      <c r="X32"/>
      <c r="Y32" s="276">
        <v>0</v>
      </c>
      <c r="Z32" s="20">
        <f t="shared" ca="1" si="7"/>
        <v>0</v>
      </c>
      <c r="AA32" s="20">
        <f ca="1">_Abono_Sobrante + IF(_Ciclicas = 1, 0, _Sobrante_Acumulado_x_Ciclo _Anterior)</f>
        <v>0</v>
      </c>
      <c r="AB32" s="20">
        <f ca="1">IF(AND(_Ciclicas=1, _Ciclo&gt;1),  _Sobrante_Acumulado_x_Ciclo _Anterior,0)</f>
        <v>0</v>
      </c>
      <c r="AD32" s="14">
        <f t="shared" ca="1" si="8"/>
        <v>0</v>
      </c>
      <c r="AE32" s="14">
        <f t="shared" ca="1" si="9"/>
        <v>1</v>
      </c>
      <c r="AF32" s="14">
        <f t="shared" ca="1" si="10"/>
        <v>12</v>
      </c>
      <c r="AG32" s="14">
        <f ca="1">MIN(_Ciclicas_Remanentes _Actual, _Remanentes _Actual)</f>
        <v>0</v>
      </c>
      <c r="AH32" s="32">
        <f t="shared" ca="1" si="11"/>
        <v>2</v>
      </c>
      <c r="AJ32" s="20">
        <f t="shared" ca="1" si="12"/>
        <v>0</v>
      </c>
      <c r="AK32" s="97">
        <f t="shared" ca="1" si="13"/>
        <v>0</v>
      </c>
      <c r="AM32" s="97">
        <f ca="1">MAX( _Saldo_Final_Original _Anterior + _Saldo_Ciclico, 0)</f>
        <v>0</v>
      </c>
      <c r="AN32" s="20">
        <f t="shared" ca="1" si="14"/>
        <v>0</v>
      </c>
      <c r="AO32" s="20">
        <f t="shared" ca="1" si="15"/>
        <v>0</v>
      </c>
      <c r="AP32" s="20">
        <f t="shared" ca="1" si="16"/>
        <v>0</v>
      </c>
      <c r="AQ32" s="20">
        <f t="shared" ca="1" si="17"/>
        <v>0</v>
      </c>
      <c r="AR32" s="335">
        <f ca="1">MAX( ((( _Pago_Fijo - (_Interes_Regular_Original * (1 + Iva.Intereses)) ))), _Stopper_Capital_Original _Actual )</f>
        <v>0</v>
      </c>
      <c r="AS32" s="97">
        <f ca="1">MAX(_Saldo_Inicial_Original _Actual - _Capital_Original _Actual, 0)</f>
        <v>0</v>
      </c>
      <c r="AT32"/>
      <c r="AU32" s="20">
        <f t="shared" ca="1" si="18"/>
        <v>0</v>
      </c>
      <c r="AV32" s="20">
        <f t="shared" ca="1" si="19"/>
        <v>0</v>
      </c>
      <c r="AW32" s="20">
        <f t="shared" ca="1" si="20"/>
        <v>0</v>
      </c>
      <c r="AX32" s="97">
        <f ca="1">IF( AND(_Abono_Anticipado _Anterior = 0, _Ciclicas &lt;&gt; 1 ), _Pago_Proyectado _Anterior, SUM(_Componentes_Pago_Proyectado _Actual))</f>
        <v>0</v>
      </c>
      <c r="AY32" s="335">
        <f t="shared" ca="1" si="21"/>
        <v>0</v>
      </c>
      <c r="AZ32" s="335">
        <f t="shared" ca="1" si="22"/>
        <v>0</v>
      </c>
      <c r="BB32" s="20">
        <f t="shared" ca="1" si="23"/>
        <v>0</v>
      </c>
      <c r="BC32" s="309">
        <f t="shared" si="24"/>
        <v>30</v>
      </c>
      <c r="BD32" s="20">
        <f t="shared" ca="1" si="25"/>
        <v>0</v>
      </c>
      <c r="BE32" s="97">
        <f t="shared" ca="1" si="26"/>
        <v>0</v>
      </c>
      <c r="BF32" s="14"/>
      <c r="BG32" s="14"/>
      <c r="BI32" s="44"/>
      <c r="BJ32" s="102"/>
      <c r="BK32" s="32"/>
      <c r="BL32" s="32"/>
      <c r="BR32" s="14"/>
      <c r="BS32" s="14"/>
      <c r="BT32" s="14"/>
      <c r="BU32" s="14"/>
      <c r="BV32" s="14"/>
      <c r="BY32" s="14"/>
      <c r="BZ32" s="14"/>
      <c r="CA32" s="14"/>
    </row>
    <row r="33" spans="2:79">
      <c r="B33" s="102" t="s">
        <v>136</v>
      </c>
      <c r="C33" s="14" t="str">
        <f ca="1">IF(ISERROR(INDIRECT(Parametro.Rango.Dias.Cat)), "Dias.Por.Periodo", Parametro.Rango.Dias.Cat)</f>
        <v>Dias.Por.Periodo</v>
      </c>
      <c r="E33" s="297" t="s">
        <v>96</v>
      </c>
      <c r="F33" s="116">
        <f ca="1">MIN( MATCH(0,_Saldo_Final,0),  Periodos.Por.Ciclo )</f>
        <v>1</v>
      </c>
      <c r="J33" s="14">
        <v>14</v>
      </c>
      <c r="L33" s="97">
        <f ca="1">MAX( _Saldo_Final _Anterior + _Saldo_Ciclico,0)</f>
        <v>0</v>
      </c>
      <c r="M33" s="97">
        <f ca="1">MIN( CHOOSE(Opcion.Abono, _Capital_Opcion_1, _Capital_Opcion_2, _Capital_Opcion_3) _Actual, _Saldo_Inicial _Actual)</f>
        <v>0</v>
      </c>
      <c r="N33" s="97">
        <f t="shared" ca="1" si="0"/>
        <v>0</v>
      </c>
      <c r="O33" s="309">
        <f ca="1">MAX( _Capital_Elegida _Actual, _Stopper_Capital _Actual)</f>
        <v>0</v>
      </c>
      <c r="P33" s="118">
        <f t="shared" ca="1" si="1"/>
        <v>0</v>
      </c>
      <c r="Q33" s="118">
        <f t="shared" ca="1" si="2"/>
        <v>0</v>
      </c>
      <c r="R33" s="309">
        <f>Fechas!_Dias_Interes_Pago</f>
        <v>30</v>
      </c>
      <c r="S33" s="20">
        <f t="shared" ca="1" si="3"/>
        <v>0</v>
      </c>
      <c r="T33" s="20">
        <f t="shared" ca="1" si="4"/>
        <v>0</v>
      </c>
      <c r="U33" s="20">
        <f t="shared" ca="1" si="5"/>
        <v>0</v>
      </c>
      <c r="V33" s="310">
        <f ca="1">T_Merger!_Salida_Abono_2</f>
        <v>0</v>
      </c>
      <c r="W33" s="20">
        <f t="shared" ca="1" si="6"/>
        <v>0</v>
      </c>
      <c r="X33"/>
      <c r="Y33" s="276">
        <v>0</v>
      </c>
      <c r="Z33" s="20">
        <f t="shared" ca="1" si="7"/>
        <v>0</v>
      </c>
      <c r="AA33" s="20">
        <f ca="1">_Abono_Sobrante + IF(_Ciclicas = 1, 0, _Sobrante_Acumulado_x_Ciclo _Anterior)</f>
        <v>0</v>
      </c>
      <c r="AB33" s="20">
        <f ca="1">IF(AND(_Ciclicas=1, _Ciclo&gt;1),  _Sobrante_Acumulado_x_Ciclo _Anterior,0)</f>
        <v>0</v>
      </c>
      <c r="AD33" s="14">
        <f t="shared" ca="1" si="8"/>
        <v>0</v>
      </c>
      <c r="AE33" s="14">
        <f t="shared" ca="1" si="9"/>
        <v>2</v>
      </c>
      <c r="AF33" s="14">
        <f t="shared" ca="1" si="10"/>
        <v>11</v>
      </c>
      <c r="AG33" s="14">
        <f ca="1">MIN(_Ciclicas_Remanentes _Actual, _Remanentes _Actual)</f>
        <v>0</v>
      </c>
      <c r="AH33" s="32">
        <f t="shared" ca="1" si="11"/>
        <v>2</v>
      </c>
      <c r="AJ33" s="20">
        <f t="shared" ca="1" si="12"/>
        <v>0</v>
      </c>
      <c r="AK33" s="97">
        <f t="shared" ca="1" si="13"/>
        <v>0</v>
      </c>
      <c r="AM33" s="97">
        <f ca="1">MAX( _Saldo_Final_Original _Anterior + _Saldo_Ciclico, 0)</f>
        <v>0</v>
      </c>
      <c r="AN33" s="20">
        <f t="shared" ca="1" si="14"/>
        <v>0</v>
      </c>
      <c r="AO33" s="20">
        <f t="shared" ca="1" si="15"/>
        <v>0</v>
      </c>
      <c r="AP33" s="20">
        <f t="shared" ca="1" si="16"/>
        <v>0</v>
      </c>
      <c r="AQ33" s="20">
        <f t="shared" ca="1" si="17"/>
        <v>0</v>
      </c>
      <c r="AR33" s="335">
        <f ca="1">MAX( ((( _Pago_Fijo - (_Interes_Regular_Original * (1 + Iva.Intereses)) ))), _Stopper_Capital_Original _Actual )</f>
        <v>0</v>
      </c>
      <c r="AS33" s="97">
        <f ca="1">MAX(_Saldo_Inicial_Original _Actual - _Capital_Original _Actual, 0)</f>
        <v>0</v>
      </c>
      <c r="AT33"/>
      <c r="AU33" s="20">
        <f t="shared" ca="1" si="18"/>
        <v>0</v>
      </c>
      <c r="AV33" s="20">
        <f t="shared" ca="1" si="19"/>
        <v>0</v>
      </c>
      <c r="AW33" s="20">
        <f t="shared" ca="1" si="20"/>
        <v>0</v>
      </c>
      <c r="AX33" s="97">
        <f ca="1">IF( AND(_Abono_Anticipado _Anterior = 0, _Ciclicas &lt;&gt; 1 ), _Pago_Proyectado _Anterior, SUM(_Componentes_Pago_Proyectado _Actual))</f>
        <v>0</v>
      </c>
      <c r="AY33" s="335">
        <f t="shared" ca="1" si="21"/>
        <v>0</v>
      </c>
      <c r="AZ33" s="335">
        <f t="shared" ca="1" si="22"/>
        <v>0</v>
      </c>
      <c r="BB33" s="20">
        <f t="shared" ca="1" si="23"/>
        <v>0</v>
      </c>
      <c r="BC33" s="309">
        <f t="shared" si="24"/>
        <v>30</v>
      </c>
      <c r="BD33" s="20">
        <f t="shared" ca="1" si="25"/>
        <v>0</v>
      </c>
      <c r="BE33" s="97">
        <f t="shared" ca="1" si="26"/>
        <v>0</v>
      </c>
      <c r="BF33" s="14"/>
      <c r="BG33" s="14"/>
      <c r="BI33" s="44"/>
      <c r="BJ33" s="102"/>
      <c r="BK33" s="32"/>
      <c r="BL33" s="32"/>
      <c r="BR33" s="14"/>
      <c r="BS33" s="14"/>
      <c r="BT33" s="14"/>
      <c r="BU33" s="14"/>
      <c r="BV33" s="14"/>
      <c r="BY33" s="14"/>
      <c r="BZ33" s="14"/>
      <c r="CA33" s="14"/>
    </row>
    <row r="34" spans="2:79">
      <c r="B34" s="102" t="s">
        <v>137</v>
      </c>
      <c r="C34" s="14" t="str">
        <f ca="1">IF(ISERROR(INDIRECT(Parametro.Rango.Abono.Anticipado)), "_Captura_Abono_Local", Parametro.Rango.Abono.Anticipado)</f>
        <v>T_Merger!_Salida_Abono_2</v>
      </c>
      <c r="J34" s="14">
        <v>15</v>
      </c>
      <c r="L34" s="97">
        <f ca="1">MAX( _Saldo_Final _Anterior + _Saldo_Ciclico,0)</f>
        <v>0</v>
      </c>
      <c r="M34" s="97">
        <f ca="1">MIN( CHOOSE(Opcion.Abono, _Capital_Opcion_1, _Capital_Opcion_2, _Capital_Opcion_3) _Actual, _Saldo_Inicial _Actual)</f>
        <v>0</v>
      </c>
      <c r="N34" s="97">
        <f t="shared" ca="1" si="0"/>
        <v>0</v>
      </c>
      <c r="O34" s="309">
        <f ca="1">MAX( _Capital_Elegida _Actual, _Stopper_Capital _Actual)</f>
        <v>0</v>
      </c>
      <c r="P34" s="118">
        <f t="shared" ca="1" si="1"/>
        <v>0</v>
      </c>
      <c r="Q34" s="118">
        <f t="shared" ca="1" si="2"/>
        <v>0</v>
      </c>
      <c r="R34" s="309">
        <f>Fechas!_Dias_Interes_Pago</f>
        <v>30</v>
      </c>
      <c r="S34" s="20">
        <f t="shared" ca="1" si="3"/>
        <v>0</v>
      </c>
      <c r="T34" s="20">
        <f t="shared" ca="1" si="4"/>
        <v>0</v>
      </c>
      <c r="U34" s="20">
        <f t="shared" ca="1" si="5"/>
        <v>0</v>
      </c>
      <c r="V34" s="310">
        <f ca="1">T_Merger!_Salida_Abono_2</f>
        <v>0</v>
      </c>
      <c r="W34" s="20">
        <f t="shared" ca="1" si="6"/>
        <v>0</v>
      </c>
      <c r="X34"/>
      <c r="Y34" s="276">
        <v>0</v>
      </c>
      <c r="Z34" s="20">
        <f t="shared" ca="1" si="7"/>
        <v>0</v>
      </c>
      <c r="AA34" s="20">
        <f ca="1">_Abono_Sobrante + IF(_Ciclicas = 1, 0, _Sobrante_Acumulado_x_Ciclo _Anterior)</f>
        <v>0</v>
      </c>
      <c r="AB34" s="20">
        <f ca="1">IF(AND(_Ciclicas=1, _Ciclo&gt;1),  _Sobrante_Acumulado_x_Ciclo _Anterior,0)</f>
        <v>0</v>
      </c>
      <c r="AD34" s="14">
        <f t="shared" ca="1" si="8"/>
        <v>0</v>
      </c>
      <c r="AE34" s="14">
        <f t="shared" ca="1" si="9"/>
        <v>3</v>
      </c>
      <c r="AF34" s="14">
        <f t="shared" ca="1" si="10"/>
        <v>10</v>
      </c>
      <c r="AG34" s="14">
        <f ca="1">MIN(_Ciclicas_Remanentes _Actual, _Remanentes _Actual)</f>
        <v>0</v>
      </c>
      <c r="AH34" s="32">
        <f t="shared" ca="1" si="11"/>
        <v>2</v>
      </c>
      <c r="AJ34" s="20">
        <f t="shared" ca="1" si="12"/>
        <v>0</v>
      </c>
      <c r="AK34" s="97">
        <f t="shared" ca="1" si="13"/>
        <v>0</v>
      </c>
      <c r="AM34" s="97">
        <f ca="1">MAX( _Saldo_Final_Original _Anterior + _Saldo_Ciclico, 0)</f>
        <v>0</v>
      </c>
      <c r="AN34" s="20">
        <f t="shared" ca="1" si="14"/>
        <v>0</v>
      </c>
      <c r="AO34" s="20">
        <f t="shared" ca="1" si="15"/>
        <v>0</v>
      </c>
      <c r="AP34" s="20">
        <f t="shared" ca="1" si="16"/>
        <v>0</v>
      </c>
      <c r="AQ34" s="20">
        <f t="shared" ca="1" si="17"/>
        <v>0</v>
      </c>
      <c r="AR34" s="335">
        <f ca="1">MAX( ((( _Pago_Fijo - (_Interes_Regular_Original * (1 + Iva.Intereses)) ))), _Stopper_Capital_Original _Actual )</f>
        <v>0</v>
      </c>
      <c r="AS34" s="97">
        <f ca="1">MAX(_Saldo_Inicial_Original _Actual - _Capital_Original _Actual, 0)</f>
        <v>0</v>
      </c>
      <c r="AT34"/>
      <c r="AU34" s="20">
        <f t="shared" ca="1" si="18"/>
        <v>0</v>
      </c>
      <c r="AV34" s="20">
        <f t="shared" ca="1" si="19"/>
        <v>0</v>
      </c>
      <c r="AW34" s="20">
        <f t="shared" ca="1" si="20"/>
        <v>0</v>
      </c>
      <c r="AX34" s="97">
        <f ca="1">IF( AND(_Abono_Anticipado _Anterior = 0, _Ciclicas &lt;&gt; 1 ), _Pago_Proyectado _Anterior, SUM(_Componentes_Pago_Proyectado _Actual))</f>
        <v>0</v>
      </c>
      <c r="AY34" s="335">
        <f t="shared" ca="1" si="21"/>
        <v>0</v>
      </c>
      <c r="AZ34" s="335">
        <f t="shared" ca="1" si="22"/>
        <v>0</v>
      </c>
      <c r="BB34" s="20">
        <f t="shared" ca="1" si="23"/>
        <v>0</v>
      </c>
      <c r="BC34" s="309">
        <f t="shared" si="24"/>
        <v>30</v>
      </c>
      <c r="BD34" s="20">
        <f t="shared" ca="1" si="25"/>
        <v>0</v>
      </c>
      <c r="BE34" s="97">
        <f t="shared" ca="1" si="26"/>
        <v>0</v>
      </c>
      <c r="BF34" s="14"/>
      <c r="BG34" s="14"/>
      <c r="BI34" s="44"/>
      <c r="BJ34" s="102"/>
      <c r="BK34" s="32"/>
      <c r="BL34" s="32"/>
      <c r="BR34" s="14"/>
      <c r="BS34" s="14"/>
      <c r="BT34" s="14"/>
      <c r="BU34" s="14"/>
      <c r="BV34" s="14"/>
      <c r="BY34" s="14"/>
      <c r="BZ34" s="14"/>
      <c r="CA34" s="14"/>
    </row>
    <row r="35" spans="2:79">
      <c r="B35" s="102" t="s">
        <v>67</v>
      </c>
      <c r="C35" s="14" t="b">
        <f>IF(ISLOGICAL(Parametro.Tabla.Ciclica.Anual?), Parametro.Tabla.Ciclica.Anual?, FALSE)</f>
        <v>1</v>
      </c>
      <c r="J35" s="14">
        <v>16</v>
      </c>
      <c r="L35" s="97">
        <f ca="1">MAX( _Saldo_Final _Anterior + _Saldo_Ciclico,0)</f>
        <v>0</v>
      </c>
      <c r="M35" s="97">
        <f ca="1">MIN( CHOOSE(Opcion.Abono, _Capital_Opcion_1, _Capital_Opcion_2, _Capital_Opcion_3) _Actual, _Saldo_Inicial _Actual)</f>
        <v>0</v>
      </c>
      <c r="N35" s="97">
        <f t="shared" ca="1" si="0"/>
        <v>0</v>
      </c>
      <c r="O35" s="309">
        <f ca="1">MAX( _Capital_Elegida _Actual, _Stopper_Capital _Actual)</f>
        <v>0</v>
      </c>
      <c r="P35" s="118">
        <f t="shared" ca="1" si="1"/>
        <v>0</v>
      </c>
      <c r="Q35" s="118">
        <f t="shared" ca="1" si="2"/>
        <v>0</v>
      </c>
      <c r="R35" s="309">
        <f>Fechas!_Dias_Interes_Pago</f>
        <v>30</v>
      </c>
      <c r="S35" s="20">
        <f t="shared" ca="1" si="3"/>
        <v>0</v>
      </c>
      <c r="T35" s="20">
        <f t="shared" ca="1" si="4"/>
        <v>0</v>
      </c>
      <c r="U35" s="20">
        <f t="shared" ca="1" si="5"/>
        <v>0</v>
      </c>
      <c r="V35" s="310">
        <f ca="1">T_Merger!_Salida_Abono_2</f>
        <v>0</v>
      </c>
      <c r="W35" s="20">
        <f t="shared" ca="1" si="6"/>
        <v>0</v>
      </c>
      <c r="X35"/>
      <c r="Y35" s="276">
        <v>0</v>
      </c>
      <c r="Z35" s="20">
        <f t="shared" ca="1" si="7"/>
        <v>0</v>
      </c>
      <c r="AA35" s="20">
        <f ca="1">_Abono_Sobrante + IF(_Ciclicas = 1, 0, _Sobrante_Acumulado_x_Ciclo _Anterior)</f>
        <v>0</v>
      </c>
      <c r="AB35" s="20">
        <f ca="1">IF(AND(_Ciclicas=1, _Ciclo&gt;1),  _Sobrante_Acumulado_x_Ciclo _Anterior,0)</f>
        <v>0</v>
      </c>
      <c r="AD35" s="14">
        <f t="shared" ca="1" si="8"/>
        <v>0</v>
      </c>
      <c r="AE35" s="14">
        <f t="shared" ca="1" si="9"/>
        <v>4</v>
      </c>
      <c r="AF35" s="14">
        <f t="shared" ca="1" si="10"/>
        <v>9</v>
      </c>
      <c r="AG35" s="14">
        <f ca="1">MIN(_Ciclicas_Remanentes _Actual, _Remanentes _Actual)</f>
        <v>0</v>
      </c>
      <c r="AH35" s="32">
        <f t="shared" ca="1" si="11"/>
        <v>2</v>
      </c>
      <c r="AJ35" s="20">
        <f t="shared" ca="1" si="12"/>
        <v>0</v>
      </c>
      <c r="AK35" s="97">
        <f t="shared" ca="1" si="13"/>
        <v>0</v>
      </c>
      <c r="AM35" s="97">
        <f ca="1">MAX( _Saldo_Final_Original _Anterior + _Saldo_Ciclico, 0)</f>
        <v>0</v>
      </c>
      <c r="AN35" s="20">
        <f t="shared" ca="1" si="14"/>
        <v>0</v>
      </c>
      <c r="AO35" s="20">
        <f t="shared" ca="1" si="15"/>
        <v>0</v>
      </c>
      <c r="AP35" s="20">
        <f t="shared" ca="1" si="16"/>
        <v>0</v>
      </c>
      <c r="AQ35" s="20">
        <f t="shared" ca="1" si="17"/>
        <v>0</v>
      </c>
      <c r="AR35" s="335">
        <f ca="1">MAX( ((( _Pago_Fijo - (_Interes_Regular_Original * (1 + Iva.Intereses)) ))), _Stopper_Capital_Original _Actual )</f>
        <v>0</v>
      </c>
      <c r="AS35" s="97">
        <f ca="1">MAX(_Saldo_Inicial_Original _Actual - _Capital_Original _Actual, 0)</f>
        <v>0</v>
      </c>
      <c r="AT35"/>
      <c r="AU35" s="20">
        <f t="shared" ca="1" si="18"/>
        <v>0</v>
      </c>
      <c r="AV35" s="20">
        <f t="shared" ca="1" si="19"/>
        <v>0</v>
      </c>
      <c r="AW35" s="20">
        <f t="shared" ca="1" si="20"/>
        <v>0</v>
      </c>
      <c r="AX35" s="97">
        <f ca="1">IF( AND(_Abono_Anticipado _Anterior = 0, _Ciclicas &lt;&gt; 1 ), _Pago_Proyectado _Anterior, SUM(_Componentes_Pago_Proyectado _Actual))</f>
        <v>0</v>
      </c>
      <c r="AY35" s="335">
        <f t="shared" ca="1" si="21"/>
        <v>0</v>
      </c>
      <c r="AZ35" s="335">
        <f t="shared" ca="1" si="22"/>
        <v>0</v>
      </c>
      <c r="BB35" s="20">
        <f t="shared" ca="1" si="23"/>
        <v>0</v>
      </c>
      <c r="BC35" s="309">
        <f t="shared" si="24"/>
        <v>30</v>
      </c>
      <c r="BD35" s="20">
        <f t="shared" ca="1" si="25"/>
        <v>0</v>
      </c>
      <c r="BE35" s="97">
        <f t="shared" ca="1" si="26"/>
        <v>0</v>
      </c>
      <c r="BF35" s="14"/>
      <c r="BG35" s="14"/>
      <c r="BI35" s="44"/>
      <c r="BJ35" s="102"/>
      <c r="BK35" s="32"/>
      <c r="BL35" s="32"/>
      <c r="BR35" s="14"/>
      <c r="BS35" s="14"/>
      <c r="BT35" s="14"/>
      <c r="BU35" s="14"/>
      <c r="BV35" s="14"/>
      <c r="BY35" s="14"/>
      <c r="BZ35" s="14"/>
      <c r="CA35" s="14"/>
    </row>
    <row r="36" spans="2:79">
      <c r="B36" s="102" t="s">
        <v>68</v>
      </c>
      <c r="C36" s="298">
        <f ca="1" xml:space="preserve"> Parametro.Monto.Extra.Ciclo.1 * (Tabla.Ciclica.Anual?)</f>
        <v>0</v>
      </c>
      <c r="J36" s="14">
        <v>17</v>
      </c>
      <c r="L36" s="97">
        <f ca="1">MAX( _Saldo_Final _Anterior + _Saldo_Ciclico,0)</f>
        <v>0</v>
      </c>
      <c r="M36" s="97">
        <f ca="1">MIN( CHOOSE(Opcion.Abono, _Capital_Opcion_1, _Capital_Opcion_2, _Capital_Opcion_3) _Actual, _Saldo_Inicial _Actual)</f>
        <v>0</v>
      </c>
      <c r="N36" s="97">
        <f t="shared" ca="1" si="0"/>
        <v>0</v>
      </c>
      <c r="O36" s="309">
        <f ca="1">MAX( _Capital_Elegida _Actual, _Stopper_Capital _Actual)</f>
        <v>0</v>
      </c>
      <c r="P36" s="118">
        <f t="shared" ca="1" si="1"/>
        <v>0</v>
      </c>
      <c r="Q36" s="118">
        <f t="shared" ca="1" si="2"/>
        <v>0</v>
      </c>
      <c r="R36" s="309">
        <f>Fechas!_Dias_Interes_Pago</f>
        <v>30</v>
      </c>
      <c r="S36" s="20">
        <f t="shared" ca="1" si="3"/>
        <v>0</v>
      </c>
      <c r="T36" s="20">
        <f t="shared" ca="1" si="4"/>
        <v>0</v>
      </c>
      <c r="U36" s="20">
        <f t="shared" ca="1" si="5"/>
        <v>0</v>
      </c>
      <c r="V36" s="310">
        <f ca="1">T_Merger!_Salida_Abono_2</f>
        <v>0</v>
      </c>
      <c r="W36" s="20">
        <f t="shared" ca="1" si="6"/>
        <v>0</v>
      </c>
      <c r="X36"/>
      <c r="Y36" s="276">
        <v>0</v>
      </c>
      <c r="Z36" s="20">
        <f t="shared" ca="1" si="7"/>
        <v>0</v>
      </c>
      <c r="AA36" s="20">
        <f ca="1">_Abono_Sobrante + IF(_Ciclicas = 1, 0, _Sobrante_Acumulado_x_Ciclo _Anterior)</f>
        <v>0</v>
      </c>
      <c r="AB36" s="20">
        <f ca="1">IF(AND(_Ciclicas=1, _Ciclo&gt;1),  _Sobrante_Acumulado_x_Ciclo _Anterior,0)</f>
        <v>0</v>
      </c>
      <c r="AD36" s="14">
        <f t="shared" ca="1" si="8"/>
        <v>0</v>
      </c>
      <c r="AE36" s="14">
        <f t="shared" ca="1" si="9"/>
        <v>5</v>
      </c>
      <c r="AF36" s="14">
        <f t="shared" ca="1" si="10"/>
        <v>8</v>
      </c>
      <c r="AG36" s="14">
        <f ca="1">MIN(_Ciclicas_Remanentes _Actual, _Remanentes _Actual)</f>
        <v>0</v>
      </c>
      <c r="AH36" s="32">
        <f t="shared" ca="1" si="11"/>
        <v>2</v>
      </c>
      <c r="AJ36" s="20">
        <f t="shared" ca="1" si="12"/>
        <v>0</v>
      </c>
      <c r="AK36" s="97">
        <f t="shared" ca="1" si="13"/>
        <v>0</v>
      </c>
      <c r="AM36" s="97">
        <f ca="1">MAX( _Saldo_Final_Original _Anterior + _Saldo_Ciclico, 0)</f>
        <v>0</v>
      </c>
      <c r="AN36" s="20">
        <f t="shared" ca="1" si="14"/>
        <v>0</v>
      </c>
      <c r="AO36" s="20">
        <f t="shared" ca="1" si="15"/>
        <v>0</v>
      </c>
      <c r="AP36" s="20">
        <f t="shared" ca="1" si="16"/>
        <v>0</v>
      </c>
      <c r="AQ36" s="20">
        <f t="shared" ca="1" si="17"/>
        <v>0</v>
      </c>
      <c r="AR36" s="335">
        <f ca="1">MAX( ((( _Pago_Fijo - (_Interes_Regular_Original * (1 + Iva.Intereses)) ))), _Stopper_Capital_Original _Actual )</f>
        <v>0</v>
      </c>
      <c r="AS36" s="97">
        <f ca="1">MAX(_Saldo_Inicial_Original _Actual - _Capital_Original _Actual, 0)</f>
        <v>0</v>
      </c>
      <c r="AT36"/>
      <c r="AU36" s="20">
        <f t="shared" ca="1" si="18"/>
        <v>0</v>
      </c>
      <c r="AV36" s="20">
        <f t="shared" ca="1" si="19"/>
        <v>0</v>
      </c>
      <c r="AW36" s="20">
        <f t="shared" ca="1" si="20"/>
        <v>0</v>
      </c>
      <c r="AX36" s="97">
        <f ca="1">IF( AND(_Abono_Anticipado _Anterior = 0, _Ciclicas &lt;&gt; 1 ), _Pago_Proyectado _Anterior, SUM(_Componentes_Pago_Proyectado _Actual))</f>
        <v>0</v>
      </c>
      <c r="AY36" s="335">
        <f t="shared" ca="1" si="21"/>
        <v>0</v>
      </c>
      <c r="AZ36" s="335">
        <f t="shared" ca="1" si="22"/>
        <v>0</v>
      </c>
      <c r="BB36" s="20">
        <f t="shared" ca="1" si="23"/>
        <v>0</v>
      </c>
      <c r="BC36" s="309">
        <f t="shared" si="24"/>
        <v>30</v>
      </c>
      <c r="BD36" s="20">
        <f t="shared" ca="1" si="25"/>
        <v>0</v>
      </c>
      <c r="BE36" s="97">
        <f t="shared" ca="1" si="26"/>
        <v>0</v>
      </c>
      <c r="BF36" s="14"/>
      <c r="BG36" s="14"/>
      <c r="BI36" s="44"/>
      <c r="BJ36" s="102"/>
      <c r="BK36" s="32"/>
      <c r="BL36" s="32"/>
      <c r="BR36" s="14"/>
      <c r="BS36" s="14"/>
      <c r="BT36" s="14"/>
      <c r="BU36" s="14"/>
      <c r="BV36" s="14"/>
      <c r="BY36" s="14"/>
      <c r="BZ36" s="14"/>
      <c r="CA36" s="14"/>
    </row>
    <row r="37" spans="2:79">
      <c r="J37" s="14">
        <v>18</v>
      </c>
      <c r="L37" s="97">
        <f ca="1">MAX( _Saldo_Final _Anterior + _Saldo_Ciclico,0)</f>
        <v>0</v>
      </c>
      <c r="M37" s="97">
        <f ca="1">MIN( CHOOSE(Opcion.Abono, _Capital_Opcion_1, _Capital_Opcion_2, _Capital_Opcion_3) _Actual, _Saldo_Inicial _Actual)</f>
        <v>0</v>
      </c>
      <c r="N37" s="97">
        <f t="shared" ca="1" si="0"/>
        <v>0</v>
      </c>
      <c r="O37" s="309">
        <f ca="1">MAX( _Capital_Elegida _Actual, _Stopper_Capital _Actual)</f>
        <v>0</v>
      </c>
      <c r="P37" s="118">
        <f t="shared" ca="1" si="1"/>
        <v>0</v>
      </c>
      <c r="Q37" s="118">
        <f t="shared" ca="1" si="2"/>
        <v>0</v>
      </c>
      <c r="R37" s="309">
        <f>Fechas!_Dias_Interes_Pago</f>
        <v>30</v>
      </c>
      <c r="S37" s="20">
        <f t="shared" ca="1" si="3"/>
        <v>0</v>
      </c>
      <c r="T37" s="20">
        <f t="shared" ca="1" si="4"/>
        <v>0</v>
      </c>
      <c r="U37" s="20">
        <f t="shared" ca="1" si="5"/>
        <v>0</v>
      </c>
      <c r="V37" s="310">
        <f ca="1">T_Merger!_Salida_Abono_2</f>
        <v>0</v>
      </c>
      <c r="W37" s="20">
        <f t="shared" ca="1" si="6"/>
        <v>0</v>
      </c>
      <c r="X37"/>
      <c r="Y37" s="276">
        <v>0</v>
      </c>
      <c r="Z37" s="20">
        <f t="shared" ca="1" si="7"/>
        <v>0</v>
      </c>
      <c r="AA37" s="20">
        <f ca="1">_Abono_Sobrante + IF(_Ciclicas = 1, 0, _Sobrante_Acumulado_x_Ciclo _Anterior)</f>
        <v>0</v>
      </c>
      <c r="AB37" s="20">
        <f ca="1">IF(AND(_Ciclicas=1, _Ciclo&gt;1),  _Sobrante_Acumulado_x_Ciclo _Anterior,0)</f>
        <v>0</v>
      </c>
      <c r="AD37" s="14">
        <f t="shared" ca="1" si="8"/>
        <v>0</v>
      </c>
      <c r="AE37" s="14">
        <f t="shared" ca="1" si="9"/>
        <v>6</v>
      </c>
      <c r="AF37" s="14">
        <f t="shared" ca="1" si="10"/>
        <v>7</v>
      </c>
      <c r="AG37" s="14">
        <f ca="1">MIN(_Ciclicas_Remanentes _Actual, _Remanentes _Actual)</f>
        <v>0</v>
      </c>
      <c r="AH37" s="32">
        <f t="shared" ca="1" si="11"/>
        <v>2</v>
      </c>
      <c r="AJ37" s="20">
        <f t="shared" ca="1" si="12"/>
        <v>0</v>
      </c>
      <c r="AK37" s="97">
        <f t="shared" ca="1" si="13"/>
        <v>0</v>
      </c>
      <c r="AM37" s="97">
        <f ca="1">MAX( _Saldo_Final_Original _Anterior + _Saldo_Ciclico, 0)</f>
        <v>0</v>
      </c>
      <c r="AN37" s="20">
        <f t="shared" ca="1" si="14"/>
        <v>0</v>
      </c>
      <c r="AO37" s="20">
        <f t="shared" ca="1" si="15"/>
        <v>0</v>
      </c>
      <c r="AP37" s="20">
        <f t="shared" ca="1" si="16"/>
        <v>0</v>
      </c>
      <c r="AQ37" s="20">
        <f t="shared" ca="1" si="17"/>
        <v>0</v>
      </c>
      <c r="AR37" s="335">
        <f ca="1">MAX( ((( _Pago_Fijo - (_Interes_Regular_Original * (1 + Iva.Intereses)) ))), _Stopper_Capital_Original _Actual )</f>
        <v>0</v>
      </c>
      <c r="AS37" s="97">
        <f ca="1">MAX(_Saldo_Inicial_Original _Actual - _Capital_Original _Actual, 0)</f>
        <v>0</v>
      </c>
      <c r="AT37"/>
      <c r="AU37" s="20">
        <f t="shared" ca="1" si="18"/>
        <v>0</v>
      </c>
      <c r="AV37" s="20">
        <f t="shared" ca="1" si="19"/>
        <v>0</v>
      </c>
      <c r="AW37" s="20">
        <f t="shared" ca="1" si="20"/>
        <v>0</v>
      </c>
      <c r="AX37" s="97">
        <f ca="1">IF( AND(_Abono_Anticipado _Anterior = 0, _Ciclicas &lt;&gt; 1 ), _Pago_Proyectado _Anterior, SUM(_Componentes_Pago_Proyectado _Actual))</f>
        <v>0</v>
      </c>
      <c r="AY37" s="335">
        <f t="shared" ca="1" si="21"/>
        <v>0</v>
      </c>
      <c r="AZ37" s="335">
        <f t="shared" ca="1" si="22"/>
        <v>0</v>
      </c>
      <c r="BB37" s="20">
        <f t="shared" ca="1" si="23"/>
        <v>0</v>
      </c>
      <c r="BC37" s="309">
        <f t="shared" si="24"/>
        <v>30</v>
      </c>
      <c r="BD37" s="20">
        <f t="shared" ca="1" si="25"/>
        <v>0</v>
      </c>
      <c r="BE37" s="97">
        <f t="shared" ca="1" si="26"/>
        <v>0</v>
      </c>
      <c r="BF37" s="14"/>
      <c r="BG37" s="14"/>
      <c r="BI37" s="44"/>
      <c r="BJ37" s="102"/>
      <c r="BK37" s="32"/>
      <c r="BL37" s="32"/>
      <c r="BR37" s="14"/>
      <c r="BS37" s="14"/>
      <c r="BT37" s="14"/>
      <c r="BU37" s="14"/>
      <c r="BV37" s="14"/>
      <c r="BY37" s="14"/>
      <c r="BZ37" s="14"/>
      <c r="CA37" s="14"/>
    </row>
    <row r="38" spans="2:79">
      <c r="J38" s="14">
        <v>19</v>
      </c>
      <c r="L38" s="97">
        <f ca="1">MAX( _Saldo_Final _Anterior + _Saldo_Ciclico,0)</f>
        <v>0</v>
      </c>
      <c r="M38" s="97">
        <f ca="1">MIN( CHOOSE(Opcion.Abono, _Capital_Opcion_1, _Capital_Opcion_2, _Capital_Opcion_3) _Actual, _Saldo_Inicial _Actual)</f>
        <v>0</v>
      </c>
      <c r="N38" s="97">
        <f t="shared" ca="1" si="0"/>
        <v>0</v>
      </c>
      <c r="O38" s="309">
        <f ca="1">MAX( _Capital_Elegida _Actual, _Stopper_Capital _Actual)</f>
        <v>0</v>
      </c>
      <c r="P38" s="118">
        <f t="shared" ca="1" si="1"/>
        <v>0</v>
      </c>
      <c r="Q38" s="118">
        <f t="shared" ca="1" si="2"/>
        <v>0</v>
      </c>
      <c r="R38" s="309">
        <f>Fechas!_Dias_Interes_Pago</f>
        <v>30</v>
      </c>
      <c r="S38" s="20">
        <f t="shared" ca="1" si="3"/>
        <v>0</v>
      </c>
      <c r="T38" s="20">
        <f t="shared" ca="1" si="4"/>
        <v>0</v>
      </c>
      <c r="U38" s="20">
        <f t="shared" ca="1" si="5"/>
        <v>0</v>
      </c>
      <c r="V38" s="310">
        <f ca="1">T_Merger!_Salida_Abono_2</f>
        <v>0</v>
      </c>
      <c r="W38" s="20">
        <f t="shared" ca="1" si="6"/>
        <v>0</v>
      </c>
      <c r="X38"/>
      <c r="Y38" s="276">
        <v>0</v>
      </c>
      <c r="Z38" s="20">
        <f t="shared" ca="1" si="7"/>
        <v>0</v>
      </c>
      <c r="AA38" s="20">
        <f ca="1">_Abono_Sobrante + IF(_Ciclicas = 1, 0, _Sobrante_Acumulado_x_Ciclo _Anterior)</f>
        <v>0</v>
      </c>
      <c r="AB38" s="20">
        <f ca="1">IF(AND(_Ciclicas=1, _Ciclo&gt;1),  _Sobrante_Acumulado_x_Ciclo _Anterior,0)</f>
        <v>0</v>
      </c>
      <c r="AD38" s="14">
        <f t="shared" ca="1" si="8"/>
        <v>0</v>
      </c>
      <c r="AE38" s="14">
        <f t="shared" ca="1" si="9"/>
        <v>7</v>
      </c>
      <c r="AF38" s="14">
        <f t="shared" ca="1" si="10"/>
        <v>6</v>
      </c>
      <c r="AG38" s="14">
        <f ca="1">MIN(_Ciclicas_Remanentes _Actual, _Remanentes _Actual)</f>
        <v>0</v>
      </c>
      <c r="AH38" s="32">
        <f t="shared" ca="1" si="11"/>
        <v>2</v>
      </c>
      <c r="AJ38" s="20">
        <f t="shared" ca="1" si="12"/>
        <v>0</v>
      </c>
      <c r="AK38" s="97">
        <f t="shared" ca="1" si="13"/>
        <v>0</v>
      </c>
      <c r="AM38" s="97">
        <f ca="1">MAX( _Saldo_Final_Original _Anterior + _Saldo_Ciclico, 0)</f>
        <v>0</v>
      </c>
      <c r="AN38" s="20">
        <f t="shared" ca="1" si="14"/>
        <v>0</v>
      </c>
      <c r="AO38" s="20">
        <f t="shared" ca="1" si="15"/>
        <v>0</v>
      </c>
      <c r="AP38" s="20">
        <f t="shared" ca="1" si="16"/>
        <v>0</v>
      </c>
      <c r="AQ38" s="20">
        <f t="shared" ca="1" si="17"/>
        <v>0</v>
      </c>
      <c r="AR38" s="335">
        <f ca="1">MAX( ((( _Pago_Fijo - (_Interes_Regular_Original * (1 + Iva.Intereses)) ))), _Stopper_Capital_Original _Actual )</f>
        <v>0</v>
      </c>
      <c r="AS38" s="97">
        <f ca="1">MAX(_Saldo_Inicial_Original _Actual - _Capital_Original _Actual, 0)</f>
        <v>0</v>
      </c>
      <c r="AT38"/>
      <c r="AU38" s="20">
        <f t="shared" ca="1" si="18"/>
        <v>0</v>
      </c>
      <c r="AV38" s="20">
        <f t="shared" ca="1" si="19"/>
        <v>0</v>
      </c>
      <c r="AW38" s="20">
        <f t="shared" ca="1" si="20"/>
        <v>0</v>
      </c>
      <c r="AX38" s="97">
        <f ca="1">IF( AND(_Abono_Anticipado _Anterior = 0, _Ciclicas &lt;&gt; 1 ), _Pago_Proyectado _Anterior, SUM(_Componentes_Pago_Proyectado _Actual))</f>
        <v>0</v>
      </c>
      <c r="AY38" s="335">
        <f t="shared" ca="1" si="21"/>
        <v>0</v>
      </c>
      <c r="AZ38" s="335">
        <f t="shared" ca="1" si="22"/>
        <v>0</v>
      </c>
      <c r="BB38" s="20">
        <f t="shared" ca="1" si="23"/>
        <v>0</v>
      </c>
      <c r="BC38" s="309">
        <f t="shared" si="24"/>
        <v>30</v>
      </c>
      <c r="BD38" s="20">
        <f t="shared" ca="1" si="25"/>
        <v>0</v>
      </c>
      <c r="BE38" s="97">
        <f t="shared" ca="1" si="26"/>
        <v>0</v>
      </c>
      <c r="BF38" s="14"/>
      <c r="BG38" s="14"/>
      <c r="BI38" s="44"/>
      <c r="BJ38" s="102"/>
      <c r="BK38" s="32"/>
      <c r="BL38" s="32"/>
      <c r="BR38" s="14"/>
      <c r="BS38" s="14"/>
      <c r="BT38" s="14"/>
      <c r="BU38" s="14"/>
      <c r="BV38" s="14"/>
      <c r="BY38" s="14"/>
      <c r="BZ38" s="14"/>
      <c r="CA38" s="14"/>
    </row>
    <row r="39" spans="2:79">
      <c r="B39" s="67"/>
      <c r="C39" s="67"/>
      <c r="D39" s="68"/>
      <c r="E39" s="135" t="s">
        <v>97</v>
      </c>
      <c r="F39" s="67"/>
      <c r="J39" s="14">
        <v>20</v>
      </c>
      <c r="L39" s="97">
        <f ca="1">MAX( _Saldo_Final _Anterior + _Saldo_Ciclico,0)</f>
        <v>0</v>
      </c>
      <c r="M39" s="97">
        <f ca="1">MIN( CHOOSE(Opcion.Abono, _Capital_Opcion_1, _Capital_Opcion_2, _Capital_Opcion_3) _Actual, _Saldo_Inicial _Actual)</f>
        <v>0</v>
      </c>
      <c r="N39" s="97">
        <f t="shared" ca="1" si="0"/>
        <v>0</v>
      </c>
      <c r="O39" s="309">
        <f ca="1">MAX( _Capital_Elegida _Actual, _Stopper_Capital _Actual)</f>
        <v>0</v>
      </c>
      <c r="P39" s="118">
        <f t="shared" ca="1" si="1"/>
        <v>0</v>
      </c>
      <c r="Q39" s="118">
        <f t="shared" ca="1" si="2"/>
        <v>0</v>
      </c>
      <c r="R39" s="309">
        <f>Fechas!_Dias_Interes_Pago</f>
        <v>30</v>
      </c>
      <c r="S39" s="20">
        <f t="shared" ca="1" si="3"/>
        <v>0</v>
      </c>
      <c r="T39" s="20">
        <f t="shared" ca="1" si="4"/>
        <v>0</v>
      </c>
      <c r="U39" s="20">
        <f t="shared" ca="1" si="5"/>
        <v>0</v>
      </c>
      <c r="V39" s="310">
        <f ca="1">T_Merger!_Salida_Abono_2</f>
        <v>0</v>
      </c>
      <c r="W39" s="20">
        <f t="shared" ca="1" si="6"/>
        <v>0</v>
      </c>
      <c r="X39"/>
      <c r="Y39" s="276">
        <v>0</v>
      </c>
      <c r="Z39" s="20">
        <f t="shared" ca="1" si="7"/>
        <v>0</v>
      </c>
      <c r="AA39" s="20">
        <f ca="1">_Abono_Sobrante + IF(_Ciclicas = 1, 0, _Sobrante_Acumulado_x_Ciclo _Anterior)</f>
        <v>0</v>
      </c>
      <c r="AB39" s="20">
        <f ca="1">IF(AND(_Ciclicas=1, _Ciclo&gt;1),  _Sobrante_Acumulado_x_Ciclo _Anterior,0)</f>
        <v>0</v>
      </c>
      <c r="AD39" s="14">
        <f t="shared" ca="1" si="8"/>
        <v>0</v>
      </c>
      <c r="AE39" s="14">
        <f t="shared" ca="1" si="9"/>
        <v>8</v>
      </c>
      <c r="AF39" s="14">
        <f t="shared" ca="1" si="10"/>
        <v>5</v>
      </c>
      <c r="AG39" s="14">
        <f ca="1">MIN(_Ciclicas_Remanentes _Actual, _Remanentes _Actual)</f>
        <v>0</v>
      </c>
      <c r="AH39" s="32">
        <f t="shared" ca="1" si="11"/>
        <v>2</v>
      </c>
      <c r="AJ39" s="20">
        <f t="shared" ca="1" si="12"/>
        <v>0</v>
      </c>
      <c r="AK39" s="97">
        <f t="shared" ca="1" si="13"/>
        <v>0</v>
      </c>
      <c r="AM39" s="97">
        <f ca="1">MAX( _Saldo_Final_Original _Anterior + _Saldo_Ciclico, 0)</f>
        <v>0</v>
      </c>
      <c r="AN39" s="20">
        <f t="shared" ca="1" si="14"/>
        <v>0</v>
      </c>
      <c r="AO39" s="20">
        <f t="shared" ca="1" si="15"/>
        <v>0</v>
      </c>
      <c r="AP39" s="20">
        <f t="shared" ca="1" si="16"/>
        <v>0</v>
      </c>
      <c r="AQ39" s="20">
        <f t="shared" ca="1" si="17"/>
        <v>0</v>
      </c>
      <c r="AR39" s="335">
        <f ca="1">MAX( ((( _Pago_Fijo - (_Interes_Regular_Original * (1 + Iva.Intereses)) ))), _Stopper_Capital_Original _Actual )</f>
        <v>0</v>
      </c>
      <c r="AS39" s="97">
        <f ca="1">MAX(_Saldo_Inicial_Original _Actual - _Capital_Original _Actual, 0)</f>
        <v>0</v>
      </c>
      <c r="AT39"/>
      <c r="AU39" s="20">
        <f t="shared" ca="1" si="18"/>
        <v>0</v>
      </c>
      <c r="AV39" s="20">
        <f t="shared" ca="1" si="19"/>
        <v>0</v>
      </c>
      <c r="AW39" s="20">
        <f t="shared" ca="1" si="20"/>
        <v>0</v>
      </c>
      <c r="AX39" s="97">
        <f ca="1">IF( AND(_Abono_Anticipado _Anterior = 0, _Ciclicas &lt;&gt; 1 ), _Pago_Proyectado _Anterior, SUM(_Componentes_Pago_Proyectado _Actual))</f>
        <v>0</v>
      </c>
      <c r="AY39" s="335">
        <f t="shared" ca="1" si="21"/>
        <v>0</v>
      </c>
      <c r="AZ39" s="335">
        <f t="shared" ca="1" si="22"/>
        <v>0</v>
      </c>
      <c r="BB39" s="20">
        <f t="shared" ca="1" si="23"/>
        <v>0</v>
      </c>
      <c r="BC39" s="309">
        <f t="shared" si="24"/>
        <v>30</v>
      </c>
      <c r="BD39" s="20">
        <f t="shared" ca="1" si="25"/>
        <v>0</v>
      </c>
      <c r="BE39" s="97">
        <f t="shared" ca="1" si="26"/>
        <v>0</v>
      </c>
      <c r="BF39" s="14"/>
      <c r="BG39" s="14"/>
      <c r="BI39" s="44"/>
      <c r="BJ39" s="102"/>
      <c r="BK39" s="32"/>
      <c r="BL39" s="32"/>
      <c r="BR39" s="14"/>
      <c r="BS39" s="14"/>
      <c r="BT39" s="14"/>
      <c r="BU39" s="14"/>
      <c r="BV39" s="14"/>
      <c r="BY39" s="14"/>
      <c r="BZ39" s="14"/>
      <c r="CA39" s="14"/>
    </row>
    <row r="40" spans="2:79">
      <c r="E40" s="299"/>
      <c r="F40" s="46"/>
      <c r="J40" s="14">
        <v>21</v>
      </c>
      <c r="L40" s="97">
        <f ca="1">MAX( _Saldo_Final _Anterior + _Saldo_Ciclico,0)</f>
        <v>0</v>
      </c>
      <c r="M40" s="97">
        <f ca="1">MIN( CHOOSE(Opcion.Abono, _Capital_Opcion_1, _Capital_Opcion_2, _Capital_Opcion_3) _Actual, _Saldo_Inicial _Actual)</f>
        <v>0</v>
      </c>
      <c r="N40" s="97">
        <f t="shared" ca="1" si="0"/>
        <v>0</v>
      </c>
      <c r="O40" s="309">
        <f ca="1">MAX( _Capital_Elegida _Actual, _Stopper_Capital _Actual)</f>
        <v>0</v>
      </c>
      <c r="P40" s="118">
        <f t="shared" ca="1" si="1"/>
        <v>0</v>
      </c>
      <c r="Q40" s="118">
        <f t="shared" ca="1" si="2"/>
        <v>0</v>
      </c>
      <c r="R40" s="309">
        <f>Fechas!_Dias_Interes_Pago</f>
        <v>30</v>
      </c>
      <c r="S40" s="20">
        <f t="shared" ca="1" si="3"/>
        <v>0</v>
      </c>
      <c r="T40" s="20">
        <f t="shared" ca="1" si="4"/>
        <v>0</v>
      </c>
      <c r="U40" s="20">
        <f t="shared" ca="1" si="5"/>
        <v>0</v>
      </c>
      <c r="V40" s="310">
        <f ca="1">T_Merger!_Salida_Abono_2</f>
        <v>0</v>
      </c>
      <c r="W40" s="20">
        <f t="shared" ca="1" si="6"/>
        <v>0</v>
      </c>
      <c r="X40"/>
      <c r="Y40" s="276">
        <v>0</v>
      </c>
      <c r="Z40" s="20">
        <f t="shared" ca="1" si="7"/>
        <v>0</v>
      </c>
      <c r="AA40" s="20">
        <f ca="1">_Abono_Sobrante + IF(_Ciclicas = 1, 0, _Sobrante_Acumulado_x_Ciclo _Anterior)</f>
        <v>0</v>
      </c>
      <c r="AB40" s="20">
        <f ca="1">IF(AND(_Ciclicas=1, _Ciclo&gt;1),  _Sobrante_Acumulado_x_Ciclo _Anterior,0)</f>
        <v>0</v>
      </c>
      <c r="AD40" s="14">
        <f t="shared" ca="1" si="8"/>
        <v>0</v>
      </c>
      <c r="AE40" s="14">
        <f t="shared" ca="1" si="9"/>
        <v>9</v>
      </c>
      <c r="AF40" s="14">
        <f t="shared" ca="1" si="10"/>
        <v>4</v>
      </c>
      <c r="AG40" s="14">
        <f ca="1">MIN(_Ciclicas_Remanentes _Actual, _Remanentes _Actual)</f>
        <v>0</v>
      </c>
      <c r="AH40" s="32">
        <f t="shared" ca="1" si="11"/>
        <v>2</v>
      </c>
      <c r="AJ40" s="20">
        <f t="shared" ca="1" si="12"/>
        <v>0</v>
      </c>
      <c r="AK40" s="97">
        <f t="shared" ca="1" si="13"/>
        <v>0</v>
      </c>
      <c r="AM40" s="97">
        <f ca="1">MAX( _Saldo_Final_Original _Anterior + _Saldo_Ciclico, 0)</f>
        <v>0</v>
      </c>
      <c r="AN40" s="20">
        <f t="shared" ca="1" si="14"/>
        <v>0</v>
      </c>
      <c r="AO40" s="20">
        <f t="shared" ca="1" si="15"/>
        <v>0</v>
      </c>
      <c r="AP40" s="20">
        <f t="shared" ca="1" si="16"/>
        <v>0</v>
      </c>
      <c r="AQ40" s="20">
        <f t="shared" ca="1" si="17"/>
        <v>0</v>
      </c>
      <c r="AR40" s="335">
        <f ca="1">MAX( ((( _Pago_Fijo - (_Interes_Regular_Original * (1 + Iva.Intereses)) ))), _Stopper_Capital_Original _Actual )</f>
        <v>0</v>
      </c>
      <c r="AS40" s="97">
        <f ca="1">MAX(_Saldo_Inicial_Original _Actual - _Capital_Original _Actual, 0)</f>
        <v>0</v>
      </c>
      <c r="AT40"/>
      <c r="AU40" s="20">
        <f t="shared" ca="1" si="18"/>
        <v>0</v>
      </c>
      <c r="AV40" s="20">
        <f t="shared" ca="1" si="19"/>
        <v>0</v>
      </c>
      <c r="AW40" s="20">
        <f t="shared" ca="1" si="20"/>
        <v>0</v>
      </c>
      <c r="AX40" s="97">
        <f ca="1">IF( AND(_Abono_Anticipado _Anterior = 0, _Ciclicas &lt;&gt; 1 ), _Pago_Proyectado _Anterior, SUM(_Componentes_Pago_Proyectado _Actual))</f>
        <v>0</v>
      </c>
      <c r="AY40" s="335">
        <f t="shared" ca="1" si="21"/>
        <v>0</v>
      </c>
      <c r="AZ40" s="335">
        <f t="shared" ca="1" si="22"/>
        <v>0</v>
      </c>
      <c r="BB40" s="20">
        <f t="shared" ca="1" si="23"/>
        <v>0</v>
      </c>
      <c r="BC40" s="309">
        <f t="shared" si="24"/>
        <v>30</v>
      </c>
      <c r="BD40" s="20">
        <f t="shared" ca="1" si="25"/>
        <v>0</v>
      </c>
      <c r="BE40" s="97">
        <f t="shared" ca="1" si="26"/>
        <v>0</v>
      </c>
      <c r="BF40" s="14"/>
      <c r="BG40" s="14"/>
      <c r="BI40" s="44"/>
      <c r="BJ40" s="102"/>
      <c r="BK40" s="32"/>
      <c r="BL40" s="32"/>
      <c r="BR40" s="14"/>
      <c r="BS40" s="14"/>
      <c r="BT40" s="14"/>
      <c r="BU40" s="14"/>
      <c r="BV40" s="14"/>
      <c r="BY40" s="14"/>
      <c r="BZ40" s="14"/>
      <c r="CA40" s="14"/>
    </row>
    <row r="41" spans="2:79">
      <c r="B41" s="32"/>
      <c r="C41" s="101" t="s">
        <v>139</v>
      </c>
      <c r="E41" s="111" t="s">
        <v>99</v>
      </c>
      <c r="F41" s="300" t="str">
        <f ca="1">Rango.Abono.Anticipado</f>
        <v>T_Merger!_Salida_Abono_2</v>
      </c>
      <c r="J41" s="14">
        <v>22</v>
      </c>
      <c r="L41" s="97">
        <f ca="1">MAX( _Saldo_Final _Anterior + _Saldo_Ciclico,0)</f>
        <v>0</v>
      </c>
      <c r="M41" s="97">
        <f ca="1">MIN( CHOOSE(Opcion.Abono, _Capital_Opcion_1, _Capital_Opcion_2, _Capital_Opcion_3) _Actual, _Saldo_Inicial _Actual)</f>
        <v>0</v>
      </c>
      <c r="N41" s="97">
        <f t="shared" ca="1" si="0"/>
        <v>0</v>
      </c>
      <c r="O41" s="309">
        <f ca="1">MAX( _Capital_Elegida _Actual, _Stopper_Capital _Actual)</f>
        <v>0</v>
      </c>
      <c r="P41" s="118">
        <f t="shared" ca="1" si="1"/>
        <v>0</v>
      </c>
      <c r="Q41" s="118">
        <f t="shared" ca="1" si="2"/>
        <v>0</v>
      </c>
      <c r="R41" s="309">
        <f>Fechas!_Dias_Interes_Pago</f>
        <v>30</v>
      </c>
      <c r="S41" s="20">
        <f t="shared" ca="1" si="3"/>
        <v>0</v>
      </c>
      <c r="T41" s="20">
        <f t="shared" ca="1" si="4"/>
        <v>0</v>
      </c>
      <c r="U41" s="20">
        <f t="shared" ca="1" si="5"/>
        <v>0</v>
      </c>
      <c r="V41" s="310">
        <f ca="1">T_Merger!_Salida_Abono_2</f>
        <v>0</v>
      </c>
      <c r="W41" s="20">
        <f t="shared" ca="1" si="6"/>
        <v>0</v>
      </c>
      <c r="X41"/>
      <c r="Y41" s="276">
        <v>0</v>
      </c>
      <c r="Z41" s="20">
        <f t="shared" ca="1" si="7"/>
        <v>0</v>
      </c>
      <c r="AA41" s="20">
        <f ca="1">_Abono_Sobrante + IF(_Ciclicas = 1, 0, _Sobrante_Acumulado_x_Ciclo _Anterior)</f>
        <v>0</v>
      </c>
      <c r="AB41" s="20">
        <f ca="1">IF(AND(_Ciclicas=1, _Ciclo&gt;1),  _Sobrante_Acumulado_x_Ciclo _Anterior,0)</f>
        <v>0</v>
      </c>
      <c r="AD41" s="14">
        <f t="shared" ca="1" si="8"/>
        <v>0</v>
      </c>
      <c r="AE41" s="14">
        <f t="shared" ca="1" si="9"/>
        <v>10</v>
      </c>
      <c r="AF41" s="14">
        <f t="shared" ca="1" si="10"/>
        <v>3</v>
      </c>
      <c r="AG41" s="14">
        <f ca="1">MIN(_Ciclicas_Remanentes _Actual, _Remanentes _Actual)</f>
        <v>0</v>
      </c>
      <c r="AH41" s="32">
        <f t="shared" ca="1" si="11"/>
        <v>2</v>
      </c>
      <c r="AJ41" s="20">
        <f t="shared" ca="1" si="12"/>
        <v>0</v>
      </c>
      <c r="AK41" s="97">
        <f t="shared" ca="1" si="13"/>
        <v>0</v>
      </c>
      <c r="AM41" s="97">
        <f ca="1">MAX( _Saldo_Final_Original _Anterior + _Saldo_Ciclico, 0)</f>
        <v>0</v>
      </c>
      <c r="AN41" s="20">
        <f t="shared" ca="1" si="14"/>
        <v>0</v>
      </c>
      <c r="AO41" s="20">
        <f t="shared" ca="1" si="15"/>
        <v>0</v>
      </c>
      <c r="AP41" s="20">
        <f t="shared" ca="1" si="16"/>
        <v>0</v>
      </c>
      <c r="AQ41" s="20">
        <f t="shared" ca="1" si="17"/>
        <v>0</v>
      </c>
      <c r="AR41" s="335">
        <f ca="1">MAX( ((( _Pago_Fijo - (_Interes_Regular_Original * (1 + Iva.Intereses)) ))), _Stopper_Capital_Original _Actual )</f>
        <v>0</v>
      </c>
      <c r="AS41" s="97">
        <f ca="1">MAX(_Saldo_Inicial_Original _Actual - _Capital_Original _Actual, 0)</f>
        <v>0</v>
      </c>
      <c r="AT41"/>
      <c r="AU41" s="20">
        <f t="shared" ca="1" si="18"/>
        <v>0</v>
      </c>
      <c r="AV41" s="20">
        <f t="shared" ca="1" si="19"/>
        <v>0</v>
      </c>
      <c r="AW41" s="20">
        <f t="shared" ca="1" si="20"/>
        <v>0</v>
      </c>
      <c r="AX41" s="97">
        <f ca="1">IF( AND(_Abono_Anticipado _Anterior = 0, _Ciclicas &lt;&gt; 1 ), _Pago_Proyectado _Anterior, SUM(_Componentes_Pago_Proyectado _Actual))</f>
        <v>0</v>
      </c>
      <c r="AY41" s="335">
        <f t="shared" ca="1" si="21"/>
        <v>0</v>
      </c>
      <c r="AZ41" s="335">
        <f t="shared" ca="1" si="22"/>
        <v>0</v>
      </c>
      <c r="BB41" s="20">
        <f t="shared" ca="1" si="23"/>
        <v>0</v>
      </c>
      <c r="BC41" s="309">
        <f t="shared" si="24"/>
        <v>30</v>
      </c>
      <c r="BD41" s="20">
        <f t="shared" ca="1" si="25"/>
        <v>0</v>
      </c>
      <c r="BE41" s="97">
        <f t="shared" ca="1" si="26"/>
        <v>0</v>
      </c>
      <c r="BF41" s="14"/>
      <c r="BG41" s="14"/>
      <c r="BI41" s="44"/>
      <c r="BJ41" s="102"/>
      <c r="BK41" s="32"/>
      <c r="BL41" s="32"/>
      <c r="BR41" s="14"/>
      <c r="BS41" s="14"/>
      <c r="BT41" s="14"/>
      <c r="BU41" s="14"/>
      <c r="BV41" s="14"/>
      <c r="BY41" s="14"/>
      <c r="BZ41" s="14"/>
      <c r="CA41" s="14"/>
    </row>
    <row r="42" spans="2:79">
      <c r="B42" s="32"/>
      <c r="C42" s="101" t="s">
        <v>140</v>
      </c>
      <c r="E42" s="111" t="s">
        <v>99</v>
      </c>
      <c r="F42" s="300" t="str">
        <f ca="1">Rango.Dias.Cat</f>
        <v>Dias.Por.Periodo</v>
      </c>
      <c r="J42" s="14">
        <v>23</v>
      </c>
      <c r="L42" s="97">
        <f ca="1">MAX( _Saldo_Final _Anterior + _Saldo_Ciclico,0)</f>
        <v>0</v>
      </c>
      <c r="M42" s="97">
        <f ca="1">MIN( CHOOSE(Opcion.Abono, _Capital_Opcion_1, _Capital_Opcion_2, _Capital_Opcion_3) _Actual, _Saldo_Inicial _Actual)</f>
        <v>0</v>
      </c>
      <c r="N42" s="97">
        <f t="shared" ca="1" si="0"/>
        <v>0</v>
      </c>
      <c r="O42" s="309">
        <f ca="1">MAX( _Capital_Elegida _Actual, _Stopper_Capital _Actual)</f>
        <v>0</v>
      </c>
      <c r="P42" s="118">
        <f t="shared" ca="1" si="1"/>
        <v>0</v>
      </c>
      <c r="Q42" s="118">
        <f t="shared" ca="1" si="2"/>
        <v>0</v>
      </c>
      <c r="R42" s="309">
        <f>Fechas!_Dias_Interes_Pago</f>
        <v>30</v>
      </c>
      <c r="S42" s="20">
        <f t="shared" ca="1" si="3"/>
        <v>0</v>
      </c>
      <c r="T42" s="20">
        <f t="shared" ca="1" si="4"/>
        <v>0</v>
      </c>
      <c r="U42" s="20">
        <f t="shared" ca="1" si="5"/>
        <v>0</v>
      </c>
      <c r="V42" s="310">
        <f ca="1">T_Merger!_Salida_Abono_2</f>
        <v>0</v>
      </c>
      <c r="W42" s="20">
        <f t="shared" ca="1" si="6"/>
        <v>0</v>
      </c>
      <c r="X42"/>
      <c r="Y42" s="276">
        <v>0</v>
      </c>
      <c r="Z42" s="20">
        <f t="shared" ca="1" si="7"/>
        <v>0</v>
      </c>
      <c r="AA42" s="20">
        <f ca="1">_Abono_Sobrante + IF(_Ciclicas = 1, 0, _Sobrante_Acumulado_x_Ciclo _Anterior)</f>
        <v>0</v>
      </c>
      <c r="AB42" s="20">
        <f ca="1">IF(AND(_Ciclicas=1, _Ciclo&gt;1),  _Sobrante_Acumulado_x_Ciclo _Anterior,0)</f>
        <v>0</v>
      </c>
      <c r="AD42" s="14">
        <f t="shared" ca="1" si="8"/>
        <v>0</v>
      </c>
      <c r="AE42" s="14">
        <f t="shared" ca="1" si="9"/>
        <v>11</v>
      </c>
      <c r="AF42" s="14">
        <f t="shared" ca="1" si="10"/>
        <v>2</v>
      </c>
      <c r="AG42" s="14">
        <f ca="1">MIN(_Ciclicas_Remanentes _Actual, _Remanentes _Actual)</f>
        <v>0</v>
      </c>
      <c r="AH42" s="32">
        <f t="shared" ca="1" si="11"/>
        <v>2</v>
      </c>
      <c r="AJ42" s="20">
        <f t="shared" ca="1" si="12"/>
        <v>0</v>
      </c>
      <c r="AK42" s="97">
        <f t="shared" ca="1" si="13"/>
        <v>0</v>
      </c>
      <c r="AM42" s="97">
        <f ca="1">MAX( _Saldo_Final_Original _Anterior + _Saldo_Ciclico, 0)</f>
        <v>0</v>
      </c>
      <c r="AN42" s="20">
        <f t="shared" ca="1" si="14"/>
        <v>0</v>
      </c>
      <c r="AO42" s="20">
        <f t="shared" ca="1" si="15"/>
        <v>0</v>
      </c>
      <c r="AP42" s="20">
        <f t="shared" ca="1" si="16"/>
        <v>0</v>
      </c>
      <c r="AQ42" s="20">
        <f t="shared" ca="1" si="17"/>
        <v>0</v>
      </c>
      <c r="AR42" s="335">
        <f ca="1">MAX( ((( _Pago_Fijo - (_Interes_Regular_Original * (1 + Iva.Intereses)) ))), _Stopper_Capital_Original _Actual )</f>
        <v>0</v>
      </c>
      <c r="AS42" s="97">
        <f ca="1">MAX(_Saldo_Inicial_Original _Actual - _Capital_Original _Actual, 0)</f>
        <v>0</v>
      </c>
      <c r="AT42"/>
      <c r="AU42" s="20">
        <f t="shared" ca="1" si="18"/>
        <v>0</v>
      </c>
      <c r="AV42" s="20">
        <f t="shared" ca="1" si="19"/>
        <v>0</v>
      </c>
      <c r="AW42" s="20">
        <f t="shared" ca="1" si="20"/>
        <v>0</v>
      </c>
      <c r="AX42" s="97">
        <f ca="1">IF( AND(_Abono_Anticipado _Anterior = 0, _Ciclicas &lt;&gt; 1 ), _Pago_Proyectado _Anterior, SUM(_Componentes_Pago_Proyectado _Actual))</f>
        <v>0</v>
      </c>
      <c r="AY42" s="335">
        <f t="shared" ca="1" si="21"/>
        <v>0</v>
      </c>
      <c r="AZ42" s="335">
        <f t="shared" ca="1" si="22"/>
        <v>0</v>
      </c>
      <c r="BB42" s="20">
        <f t="shared" ca="1" si="23"/>
        <v>0</v>
      </c>
      <c r="BC42" s="309">
        <f t="shared" si="24"/>
        <v>30</v>
      </c>
      <c r="BD42" s="20">
        <f t="shared" ca="1" si="25"/>
        <v>0</v>
      </c>
      <c r="BE42" s="97">
        <f t="shared" ca="1" si="26"/>
        <v>0</v>
      </c>
      <c r="BF42" s="14"/>
      <c r="BG42" s="14"/>
      <c r="BI42" s="44"/>
      <c r="BJ42" s="102"/>
      <c r="BK42" s="32"/>
      <c r="BL42" s="32"/>
      <c r="BR42" s="14"/>
      <c r="BS42" s="14"/>
      <c r="BT42" s="14"/>
      <c r="BU42" s="14"/>
      <c r="BV42" s="14"/>
      <c r="BY42" s="14"/>
      <c r="BZ42" s="14"/>
      <c r="CA42" s="14"/>
    </row>
    <row r="43" spans="2:79">
      <c r="B43" s="32"/>
      <c r="C43" s="101" t="s">
        <v>98</v>
      </c>
      <c r="E43" s="111" t="s">
        <v>99</v>
      </c>
      <c r="F43" s="300" t="str">
        <f ca="1">Rango.Dias.Periodo</f>
        <v>Fechas!_Dias_Interes_Pago</v>
      </c>
      <c r="J43" s="14">
        <v>24</v>
      </c>
      <c r="L43" s="97">
        <f ca="1">MAX( _Saldo_Final _Anterior + _Saldo_Ciclico,0)</f>
        <v>0</v>
      </c>
      <c r="M43" s="97">
        <f ca="1">MIN( CHOOSE(Opcion.Abono, _Capital_Opcion_1, _Capital_Opcion_2, _Capital_Opcion_3) _Actual, _Saldo_Inicial _Actual)</f>
        <v>0</v>
      </c>
      <c r="N43" s="97">
        <f t="shared" ca="1" si="0"/>
        <v>0</v>
      </c>
      <c r="O43" s="309">
        <f ca="1">MAX( _Capital_Elegida _Actual, _Stopper_Capital _Actual)</f>
        <v>0</v>
      </c>
      <c r="P43" s="118">
        <f t="shared" ca="1" si="1"/>
        <v>0</v>
      </c>
      <c r="Q43" s="118">
        <f t="shared" ca="1" si="2"/>
        <v>0</v>
      </c>
      <c r="R43" s="309">
        <f>Fechas!_Dias_Interes_Pago</f>
        <v>30</v>
      </c>
      <c r="S43" s="20">
        <f t="shared" ca="1" si="3"/>
        <v>0</v>
      </c>
      <c r="T43" s="20">
        <f t="shared" ca="1" si="4"/>
        <v>0</v>
      </c>
      <c r="U43" s="20">
        <f t="shared" ca="1" si="5"/>
        <v>0</v>
      </c>
      <c r="V43" s="310">
        <f ca="1">T_Merger!_Salida_Abono_2</f>
        <v>0</v>
      </c>
      <c r="W43" s="20">
        <f t="shared" ca="1" si="6"/>
        <v>0</v>
      </c>
      <c r="X43"/>
      <c r="Y43" s="276">
        <v>0</v>
      </c>
      <c r="Z43" s="20">
        <f t="shared" ca="1" si="7"/>
        <v>0</v>
      </c>
      <c r="AA43" s="20">
        <f ca="1">_Abono_Sobrante + IF(_Ciclicas = 1, 0, _Sobrante_Acumulado_x_Ciclo _Anterior)</f>
        <v>0</v>
      </c>
      <c r="AB43" s="20">
        <f ca="1">IF(AND(_Ciclicas=1, _Ciclo&gt;1),  _Sobrante_Acumulado_x_Ciclo _Anterior,0)</f>
        <v>0</v>
      </c>
      <c r="AD43" s="14">
        <f t="shared" ca="1" si="8"/>
        <v>0</v>
      </c>
      <c r="AE43" s="14">
        <f t="shared" ca="1" si="9"/>
        <v>12</v>
      </c>
      <c r="AF43" s="14">
        <f t="shared" ca="1" si="10"/>
        <v>1</v>
      </c>
      <c r="AG43" s="14">
        <f ca="1">MIN(_Ciclicas_Remanentes _Actual, _Remanentes _Actual)</f>
        <v>0</v>
      </c>
      <c r="AH43" s="32">
        <f t="shared" ca="1" si="11"/>
        <v>2</v>
      </c>
      <c r="AJ43" s="20">
        <f t="shared" ca="1" si="12"/>
        <v>0</v>
      </c>
      <c r="AK43" s="97">
        <f t="shared" ca="1" si="13"/>
        <v>0</v>
      </c>
      <c r="AM43" s="97">
        <f ca="1">MAX( _Saldo_Final_Original _Anterior + _Saldo_Ciclico, 0)</f>
        <v>0</v>
      </c>
      <c r="AN43" s="20">
        <f t="shared" ca="1" si="14"/>
        <v>0</v>
      </c>
      <c r="AO43" s="20">
        <f t="shared" ca="1" si="15"/>
        <v>0</v>
      </c>
      <c r="AP43" s="20">
        <f t="shared" ca="1" si="16"/>
        <v>0</v>
      </c>
      <c r="AQ43" s="20">
        <f t="shared" ca="1" si="17"/>
        <v>0</v>
      </c>
      <c r="AR43" s="335">
        <f ca="1">MAX( ((( _Pago_Fijo - (_Interes_Regular_Original * (1 + Iva.Intereses)) ))), _Stopper_Capital_Original _Actual )</f>
        <v>0</v>
      </c>
      <c r="AS43" s="97">
        <f ca="1">MAX(_Saldo_Inicial_Original _Actual - _Capital_Original _Actual, 0)</f>
        <v>0</v>
      </c>
      <c r="AT43"/>
      <c r="AU43" s="20">
        <f t="shared" ca="1" si="18"/>
        <v>0</v>
      </c>
      <c r="AV43" s="20">
        <f t="shared" ca="1" si="19"/>
        <v>0</v>
      </c>
      <c r="AW43" s="20">
        <f t="shared" ca="1" si="20"/>
        <v>0</v>
      </c>
      <c r="AX43" s="97">
        <f ca="1">IF( AND(_Abono_Anticipado _Anterior = 0, _Ciclicas &lt;&gt; 1 ), _Pago_Proyectado _Anterior, SUM(_Componentes_Pago_Proyectado _Actual))</f>
        <v>0</v>
      </c>
      <c r="AY43" s="335">
        <f t="shared" ca="1" si="21"/>
        <v>0</v>
      </c>
      <c r="AZ43" s="335">
        <f t="shared" ca="1" si="22"/>
        <v>0</v>
      </c>
      <c r="BB43" s="20">
        <f t="shared" ca="1" si="23"/>
        <v>0</v>
      </c>
      <c r="BC43" s="309">
        <f t="shared" si="24"/>
        <v>30</v>
      </c>
      <c r="BD43" s="20">
        <f t="shared" ca="1" si="25"/>
        <v>0</v>
      </c>
      <c r="BE43" s="97">
        <f t="shared" ca="1" si="26"/>
        <v>0</v>
      </c>
      <c r="BF43" s="14"/>
      <c r="BG43" s="14"/>
      <c r="BI43" s="44"/>
      <c r="BJ43" s="102"/>
      <c r="BK43" s="32"/>
      <c r="BL43" s="32"/>
      <c r="BR43" s="14"/>
      <c r="BS43" s="14"/>
      <c r="BT43" s="14"/>
      <c r="BU43" s="14"/>
      <c r="BV43" s="14"/>
      <c r="BY43" s="14"/>
      <c r="BZ43" s="14"/>
      <c r="CA43" s="14"/>
    </row>
    <row r="44" spans="2:79" s="116" customFormat="1">
      <c r="B44" s="32"/>
      <c r="C44" s="32"/>
      <c r="D44"/>
      <c r="E44" s="14"/>
      <c r="F44" s="14"/>
      <c r="H44" s="67"/>
      <c r="J44" s="14">
        <v>25</v>
      </c>
      <c r="L44" s="97">
        <f ca="1">MAX( _Saldo_Final _Anterior + _Saldo_Ciclico,0)</f>
        <v>0</v>
      </c>
      <c r="M44" s="97">
        <f ca="1">MIN( CHOOSE(Opcion.Abono, _Capital_Opcion_1, _Capital_Opcion_2, _Capital_Opcion_3) _Actual, _Saldo_Inicial _Actual)</f>
        <v>0</v>
      </c>
      <c r="N44" s="97">
        <f t="shared" ca="1" si="0"/>
        <v>0</v>
      </c>
      <c r="O44" s="309">
        <f ca="1">MAX( _Capital_Elegida _Actual, _Stopper_Capital _Actual)</f>
        <v>0</v>
      </c>
      <c r="P44" s="118">
        <f t="shared" ca="1" si="1"/>
        <v>0</v>
      </c>
      <c r="Q44" s="118">
        <f t="shared" ca="1" si="2"/>
        <v>0</v>
      </c>
      <c r="R44" s="309">
        <f>Fechas!_Dias_Interes_Pago</f>
        <v>30</v>
      </c>
      <c r="S44" s="20">
        <f t="shared" ca="1" si="3"/>
        <v>0</v>
      </c>
      <c r="T44" s="20">
        <f t="shared" ca="1" si="4"/>
        <v>0</v>
      </c>
      <c r="U44" s="20">
        <f t="shared" ca="1" si="5"/>
        <v>0</v>
      </c>
      <c r="V44" s="310">
        <f ca="1">T_Merger!_Salida_Abono_2</f>
        <v>0</v>
      </c>
      <c r="W44" s="20">
        <f t="shared" ca="1" si="6"/>
        <v>0</v>
      </c>
      <c r="X44" s="41"/>
      <c r="Y44" s="276">
        <v>0</v>
      </c>
      <c r="Z44" s="20">
        <f t="shared" ca="1" si="7"/>
        <v>0</v>
      </c>
      <c r="AA44" s="20">
        <f ca="1">_Abono_Sobrante + IF(_Ciclicas = 1, 0, _Sobrante_Acumulado_x_Ciclo _Anterior)</f>
        <v>0</v>
      </c>
      <c r="AB44" s="20">
        <f ca="1">IF(AND(_Ciclicas=1, _Ciclo&gt;1),  _Sobrante_Acumulado_x_Ciclo _Anterior,0)</f>
        <v>0</v>
      </c>
      <c r="AC44"/>
      <c r="AD44" s="14">
        <f t="shared" ca="1" si="8"/>
        <v>0</v>
      </c>
      <c r="AE44" s="14">
        <f t="shared" ca="1" si="9"/>
        <v>1</v>
      </c>
      <c r="AF44" s="14">
        <f t="shared" ca="1" si="10"/>
        <v>12</v>
      </c>
      <c r="AG44" s="14">
        <f ca="1">MIN(_Ciclicas_Remanentes _Actual, _Remanentes _Actual)</f>
        <v>0</v>
      </c>
      <c r="AH44" s="32">
        <f t="shared" ca="1" si="11"/>
        <v>3</v>
      </c>
      <c r="AI44"/>
      <c r="AJ44" s="20">
        <f t="shared" ca="1" si="12"/>
        <v>0</v>
      </c>
      <c r="AK44" s="97">
        <f t="shared" ca="1" si="13"/>
        <v>0</v>
      </c>
      <c r="AL44"/>
      <c r="AM44" s="97">
        <f ca="1">MAX( _Saldo_Final_Original _Anterior + _Saldo_Ciclico, 0)</f>
        <v>0</v>
      </c>
      <c r="AN44" s="20">
        <f t="shared" ca="1" si="14"/>
        <v>0</v>
      </c>
      <c r="AO44" s="20">
        <f t="shared" ca="1" si="15"/>
        <v>0</v>
      </c>
      <c r="AP44" s="20">
        <f t="shared" ca="1" si="16"/>
        <v>0</v>
      </c>
      <c r="AQ44" s="20">
        <f t="shared" ca="1" si="17"/>
        <v>0</v>
      </c>
      <c r="AR44" s="335">
        <f ca="1">MAX( ((( _Pago_Fijo - (_Interes_Regular_Original * (1 + Iva.Intereses)) ))), _Stopper_Capital_Original _Actual )</f>
        <v>0</v>
      </c>
      <c r="AS44" s="97">
        <f ca="1">MAX(_Saldo_Inicial_Original _Actual - _Capital_Original _Actual, 0)</f>
        <v>0</v>
      </c>
      <c r="AT44" s="41"/>
      <c r="AU44" s="20">
        <f t="shared" ca="1" si="18"/>
        <v>0</v>
      </c>
      <c r="AV44" s="20">
        <f t="shared" ca="1" si="19"/>
        <v>0</v>
      </c>
      <c r="AW44" s="20">
        <f t="shared" ca="1" si="20"/>
        <v>0</v>
      </c>
      <c r="AX44" s="97">
        <f ca="1">IF( AND(_Abono_Anticipado _Anterior = 0, _Ciclicas &lt;&gt; 1 ), _Pago_Proyectado _Anterior, SUM(_Componentes_Pago_Proyectado _Actual))</f>
        <v>0</v>
      </c>
      <c r="AY44" s="335">
        <f t="shared" ca="1" si="21"/>
        <v>0</v>
      </c>
      <c r="AZ44" s="335">
        <f t="shared" ca="1" si="22"/>
        <v>0</v>
      </c>
      <c r="BB44" s="20">
        <f t="shared" ca="1" si="23"/>
        <v>0</v>
      </c>
      <c r="BC44" s="309">
        <f t="shared" si="24"/>
        <v>30</v>
      </c>
      <c r="BD44" s="20">
        <f t="shared" ca="1" si="25"/>
        <v>0</v>
      </c>
      <c r="BE44" s="97">
        <f t="shared" ca="1" si="26"/>
        <v>0</v>
      </c>
      <c r="BH44"/>
      <c r="BI44" s="44"/>
      <c r="BJ44" s="102"/>
      <c r="BK44" s="301"/>
      <c r="BL44" s="301"/>
    </row>
    <row r="45" spans="2:79">
      <c r="B45" s="301"/>
      <c r="C45" s="301"/>
      <c r="E45" s="116"/>
      <c r="F45" s="116"/>
      <c r="J45" s="14">
        <v>26</v>
      </c>
      <c r="L45" s="97">
        <f ca="1">MAX( _Saldo_Final _Anterior + _Saldo_Ciclico,0)</f>
        <v>0</v>
      </c>
      <c r="M45" s="97">
        <f ca="1">MIN( CHOOSE(Opcion.Abono, _Capital_Opcion_1, _Capital_Opcion_2, _Capital_Opcion_3) _Actual, _Saldo_Inicial _Actual)</f>
        <v>0</v>
      </c>
      <c r="N45" s="97">
        <f t="shared" ca="1" si="0"/>
        <v>0</v>
      </c>
      <c r="O45" s="309">
        <f ca="1">MAX( _Capital_Elegida _Actual, _Stopper_Capital _Actual)</f>
        <v>0</v>
      </c>
      <c r="P45" s="118">
        <f t="shared" ca="1" si="1"/>
        <v>0</v>
      </c>
      <c r="Q45" s="118">
        <f t="shared" ca="1" si="2"/>
        <v>0</v>
      </c>
      <c r="R45" s="309">
        <f>Fechas!_Dias_Interes_Pago</f>
        <v>30</v>
      </c>
      <c r="S45" s="20">
        <f t="shared" ca="1" si="3"/>
        <v>0</v>
      </c>
      <c r="T45" s="20">
        <f t="shared" ca="1" si="4"/>
        <v>0</v>
      </c>
      <c r="U45" s="20">
        <f t="shared" ca="1" si="5"/>
        <v>0</v>
      </c>
      <c r="V45" s="310">
        <f ca="1">T_Merger!_Salida_Abono_2</f>
        <v>0</v>
      </c>
      <c r="W45" s="20">
        <f t="shared" ca="1" si="6"/>
        <v>0</v>
      </c>
      <c r="X45"/>
      <c r="Y45" s="276">
        <v>0</v>
      </c>
      <c r="Z45" s="20">
        <f t="shared" ca="1" si="7"/>
        <v>0</v>
      </c>
      <c r="AA45" s="20">
        <f ca="1">_Abono_Sobrante + IF(_Ciclicas = 1, 0, _Sobrante_Acumulado_x_Ciclo _Anterior)</f>
        <v>0</v>
      </c>
      <c r="AB45" s="20">
        <f ca="1">IF(AND(_Ciclicas=1, _Ciclo&gt;1),  _Sobrante_Acumulado_x_Ciclo _Anterior,0)</f>
        <v>0</v>
      </c>
      <c r="AD45" s="14">
        <f t="shared" ca="1" si="8"/>
        <v>0</v>
      </c>
      <c r="AE45" s="14">
        <f t="shared" ca="1" si="9"/>
        <v>2</v>
      </c>
      <c r="AF45" s="14">
        <f t="shared" ca="1" si="10"/>
        <v>11</v>
      </c>
      <c r="AG45" s="14">
        <f ca="1">MIN(_Ciclicas_Remanentes _Actual, _Remanentes _Actual)</f>
        <v>0</v>
      </c>
      <c r="AH45" s="32">
        <f t="shared" ca="1" si="11"/>
        <v>3</v>
      </c>
      <c r="AJ45" s="20">
        <f t="shared" ca="1" si="12"/>
        <v>0</v>
      </c>
      <c r="AK45" s="97">
        <f t="shared" ca="1" si="13"/>
        <v>0</v>
      </c>
      <c r="AM45" s="97">
        <f ca="1">MAX( _Saldo_Final_Original _Anterior + _Saldo_Ciclico, 0)</f>
        <v>0</v>
      </c>
      <c r="AN45" s="20">
        <f t="shared" ca="1" si="14"/>
        <v>0</v>
      </c>
      <c r="AO45" s="20">
        <f t="shared" ca="1" si="15"/>
        <v>0</v>
      </c>
      <c r="AP45" s="20">
        <f t="shared" ca="1" si="16"/>
        <v>0</v>
      </c>
      <c r="AQ45" s="20">
        <f t="shared" ca="1" si="17"/>
        <v>0</v>
      </c>
      <c r="AR45" s="335">
        <f ca="1">MAX( ((( _Pago_Fijo - (_Interes_Regular_Original * (1 + Iva.Intereses)) ))), _Stopper_Capital_Original _Actual )</f>
        <v>0</v>
      </c>
      <c r="AS45" s="97">
        <f ca="1">MAX(_Saldo_Inicial_Original _Actual - _Capital_Original _Actual, 0)</f>
        <v>0</v>
      </c>
      <c r="AT45"/>
      <c r="AU45" s="20">
        <f t="shared" ca="1" si="18"/>
        <v>0</v>
      </c>
      <c r="AV45" s="20">
        <f t="shared" ca="1" si="19"/>
        <v>0</v>
      </c>
      <c r="AW45" s="20">
        <f t="shared" ca="1" si="20"/>
        <v>0</v>
      </c>
      <c r="AX45" s="97">
        <f ca="1">IF( AND(_Abono_Anticipado _Anterior = 0, _Ciclicas &lt;&gt; 1 ), _Pago_Proyectado _Anterior, SUM(_Componentes_Pago_Proyectado _Actual))</f>
        <v>0</v>
      </c>
      <c r="AY45" s="335">
        <f t="shared" ca="1" si="21"/>
        <v>0</v>
      </c>
      <c r="AZ45" s="335">
        <f t="shared" ca="1" si="22"/>
        <v>0</v>
      </c>
      <c r="BB45" s="20">
        <f t="shared" ca="1" si="23"/>
        <v>0</v>
      </c>
      <c r="BC45" s="309">
        <f t="shared" si="24"/>
        <v>30</v>
      </c>
      <c r="BD45" s="20">
        <f t="shared" ca="1" si="25"/>
        <v>0</v>
      </c>
      <c r="BE45" s="97">
        <f t="shared" ca="1" si="26"/>
        <v>0</v>
      </c>
      <c r="BF45" s="14"/>
      <c r="BG45" s="14"/>
      <c r="BI45" s="44"/>
      <c r="BJ45" s="102"/>
      <c r="BK45" s="32"/>
      <c r="BL45" s="32"/>
      <c r="BR45" s="14"/>
      <c r="BS45" s="14"/>
      <c r="BT45" s="14"/>
      <c r="BU45" s="14"/>
      <c r="BV45" s="14"/>
      <c r="BY45" s="14"/>
      <c r="BZ45" s="14"/>
      <c r="CA45" s="14"/>
    </row>
    <row r="46" spans="2:79">
      <c r="B46" s="32"/>
      <c r="C46" s="32"/>
      <c r="J46" s="14">
        <v>27</v>
      </c>
      <c r="L46" s="97">
        <f ca="1">MAX( _Saldo_Final _Anterior + _Saldo_Ciclico,0)</f>
        <v>0</v>
      </c>
      <c r="M46" s="97">
        <f ca="1">MIN( CHOOSE(Opcion.Abono, _Capital_Opcion_1, _Capital_Opcion_2, _Capital_Opcion_3) _Actual, _Saldo_Inicial _Actual)</f>
        <v>0</v>
      </c>
      <c r="N46" s="97">
        <f t="shared" ca="1" si="0"/>
        <v>0</v>
      </c>
      <c r="O46" s="309">
        <f ca="1">MAX( _Capital_Elegida _Actual, _Stopper_Capital _Actual)</f>
        <v>0</v>
      </c>
      <c r="P46" s="118">
        <f t="shared" ca="1" si="1"/>
        <v>0</v>
      </c>
      <c r="Q46" s="118">
        <f t="shared" ca="1" si="2"/>
        <v>0</v>
      </c>
      <c r="R46" s="309">
        <f>Fechas!_Dias_Interes_Pago</f>
        <v>30</v>
      </c>
      <c r="S46" s="20">
        <f t="shared" ca="1" si="3"/>
        <v>0</v>
      </c>
      <c r="T46" s="20">
        <f t="shared" ca="1" si="4"/>
        <v>0</v>
      </c>
      <c r="U46" s="20">
        <f t="shared" ca="1" si="5"/>
        <v>0</v>
      </c>
      <c r="V46" s="310">
        <f ca="1">T_Merger!_Salida_Abono_2</f>
        <v>0</v>
      </c>
      <c r="W46" s="20">
        <f t="shared" ca="1" si="6"/>
        <v>0</v>
      </c>
      <c r="X46"/>
      <c r="Y46" s="276">
        <v>0</v>
      </c>
      <c r="Z46" s="20">
        <f t="shared" ca="1" si="7"/>
        <v>0</v>
      </c>
      <c r="AA46" s="20">
        <f ca="1">_Abono_Sobrante + IF(_Ciclicas = 1, 0, _Sobrante_Acumulado_x_Ciclo _Anterior)</f>
        <v>0</v>
      </c>
      <c r="AB46" s="20">
        <f ca="1">IF(AND(_Ciclicas=1, _Ciclo&gt;1),  _Sobrante_Acumulado_x_Ciclo _Anterior,0)</f>
        <v>0</v>
      </c>
      <c r="AD46" s="14">
        <f t="shared" ca="1" si="8"/>
        <v>0</v>
      </c>
      <c r="AE46" s="14">
        <f t="shared" ca="1" si="9"/>
        <v>3</v>
      </c>
      <c r="AF46" s="14">
        <f t="shared" ca="1" si="10"/>
        <v>10</v>
      </c>
      <c r="AG46" s="14">
        <f ca="1">MIN(_Ciclicas_Remanentes _Actual, _Remanentes _Actual)</f>
        <v>0</v>
      </c>
      <c r="AH46" s="32">
        <f t="shared" ca="1" si="11"/>
        <v>3</v>
      </c>
      <c r="AJ46" s="20">
        <f t="shared" ca="1" si="12"/>
        <v>0</v>
      </c>
      <c r="AK46" s="97">
        <f t="shared" ca="1" si="13"/>
        <v>0</v>
      </c>
      <c r="AM46" s="97">
        <f ca="1">MAX( _Saldo_Final_Original _Anterior + _Saldo_Ciclico, 0)</f>
        <v>0</v>
      </c>
      <c r="AN46" s="20">
        <f t="shared" ca="1" si="14"/>
        <v>0</v>
      </c>
      <c r="AO46" s="20">
        <f t="shared" ca="1" si="15"/>
        <v>0</v>
      </c>
      <c r="AP46" s="20">
        <f t="shared" ca="1" si="16"/>
        <v>0</v>
      </c>
      <c r="AQ46" s="20">
        <f t="shared" ca="1" si="17"/>
        <v>0</v>
      </c>
      <c r="AR46" s="335">
        <f ca="1">MAX( ((( _Pago_Fijo - (_Interes_Regular_Original * (1 + Iva.Intereses)) ))), _Stopper_Capital_Original _Actual )</f>
        <v>0</v>
      </c>
      <c r="AS46" s="97">
        <f ca="1">MAX(_Saldo_Inicial_Original _Actual - _Capital_Original _Actual, 0)</f>
        <v>0</v>
      </c>
      <c r="AT46"/>
      <c r="AU46" s="20">
        <f t="shared" ca="1" si="18"/>
        <v>0</v>
      </c>
      <c r="AV46" s="20">
        <f t="shared" ca="1" si="19"/>
        <v>0</v>
      </c>
      <c r="AW46" s="20">
        <f t="shared" ca="1" si="20"/>
        <v>0</v>
      </c>
      <c r="AX46" s="97">
        <f ca="1">IF( AND(_Abono_Anticipado _Anterior = 0, _Ciclicas &lt;&gt; 1 ), _Pago_Proyectado _Anterior, SUM(_Componentes_Pago_Proyectado _Actual))</f>
        <v>0</v>
      </c>
      <c r="AY46" s="335">
        <f t="shared" ca="1" si="21"/>
        <v>0</v>
      </c>
      <c r="AZ46" s="335">
        <f t="shared" ca="1" si="22"/>
        <v>0</v>
      </c>
      <c r="BB46" s="20">
        <f t="shared" ca="1" si="23"/>
        <v>0</v>
      </c>
      <c r="BC46" s="309">
        <f t="shared" si="24"/>
        <v>30</v>
      </c>
      <c r="BD46" s="20">
        <f t="shared" ca="1" si="25"/>
        <v>0</v>
      </c>
      <c r="BE46" s="97">
        <f t="shared" ca="1" si="26"/>
        <v>0</v>
      </c>
      <c r="BF46" s="14"/>
      <c r="BG46" s="14"/>
      <c r="BI46" s="44"/>
      <c r="BJ46" s="102"/>
      <c r="BK46" s="32"/>
      <c r="BL46" s="32"/>
      <c r="BR46" s="14"/>
      <c r="BS46" s="14"/>
      <c r="BT46" s="14"/>
      <c r="BU46" s="14"/>
      <c r="BV46" s="14"/>
      <c r="BY46" s="14"/>
      <c r="BZ46" s="14"/>
      <c r="CA46" s="14"/>
    </row>
    <row r="47" spans="2:79">
      <c r="B47" s="32"/>
      <c r="C47" s="32"/>
      <c r="J47" s="14">
        <v>28</v>
      </c>
      <c r="L47" s="97">
        <f ca="1">MAX( _Saldo_Final _Anterior + _Saldo_Ciclico,0)</f>
        <v>0</v>
      </c>
      <c r="M47" s="97">
        <f ca="1">MIN( CHOOSE(Opcion.Abono, _Capital_Opcion_1, _Capital_Opcion_2, _Capital_Opcion_3) _Actual, _Saldo_Inicial _Actual)</f>
        <v>0</v>
      </c>
      <c r="N47" s="97">
        <f t="shared" ca="1" si="0"/>
        <v>0</v>
      </c>
      <c r="O47" s="309">
        <f ca="1">MAX( _Capital_Elegida _Actual, _Stopper_Capital _Actual)</f>
        <v>0</v>
      </c>
      <c r="P47" s="118">
        <f t="shared" ca="1" si="1"/>
        <v>0</v>
      </c>
      <c r="Q47" s="118">
        <f t="shared" ca="1" si="2"/>
        <v>0</v>
      </c>
      <c r="R47" s="309">
        <f>Fechas!_Dias_Interes_Pago</f>
        <v>30</v>
      </c>
      <c r="S47" s="20">
        <f t="shared" ca="1" si="3"/>
        <v>0</v>
      </c>
      <c r="T47" s="20">
        <f t="shared" ca="1" si="4"/>
        <v>0</v>
      </c>
      <c r="U47" s="20">
        <f t="shared" ca="1" si="5"/>
        <v>0</v>
      </c>
      <c r="V47" s="310">
        <f ca="1">T_Merger!_Salida_Abono_2</f>
        <v>0</v>
      </c>
      <c r="W47" s="20">
        <f t="shared" ca="1" si="6"/>
        <v>0</v>
      </c>
      <c r="X47"/>
      <c r="Y47" s="276">
        <v>0</v>
      </c>
      <c r="Z47" s="20">
        <f t="shared" ca="1" si="7"/>
        <v>0</v>
      </c>
      <c r="AA47" s="20">
        <f ca="1">_Abono_Sobrante + IF(_Ciclicas = 1, 0, _Sobrante_Acumulado_x_Ciclo _Anterior)</f>
        <v>0</v>
      </c>
      <c r="AB47" s="20">
        <f ca="1">IF(AND(_Ciclicas=1, _Ciclo&gt;1),  _Sobrante_Acumulado_x_Ciclo _Anterior,0)</f>
        <v>0</v>
      </c>
      <c r="AD47" s="14">
        <f t="shared" ca="1" si="8"/>
        <v>0</v>
      </c>
      <c r="AE47" s="14">
        <f t="shared" ca="1" si="9"/>
        <v>4</v>
      </c>
      <c r="AF47" s="14">
        <f t="shared" ca="1" si="10"/>
        <v>9</v>
      </c>
      <c r="AG47" s="14">
        <f ca="1">MIN(_Ciclicas_Remanentes _Actual, _Remanentes _Actual)</f>
        <v>0</v>
      </c>
      <c r="AH47" s="32">
        <f t="shared" ca="1" si="11"/>
        <v>3</v>
      </c>
      <c r="AJ47" s="20">
        <f t="shared" ca="1" si="12"/>
        <v>0</v>
      </c>
      <c r="AK47" s="97">
        <f t="shared" ca="1" si="13"/>
        <v>0</v>
      </c>
      <c r="AM47" s="97">
        <f ca="1">MAX( _Saldo_Final_Original _Anterior + _Saldo_Ciclico, 0)</f>
        <v>0</v>
      </c>
      <c r="AN47" s="20">
        <f t="shared" ca="1" si="14"/>
        <v>0</v>
      </c>
      <c r="AO47" s="20">
        <f t="shared" ca="1" si="15"/>
        <v>0</v>
      </c>
      <c r="AP47" s="20">
        <f t="shared" ca="1" si="16"/>
        <v>0</v>
      </c>
      <c r="AQ47" s="20">
        <f t="shared" ca="1" si="17"/>
        <v>0</v>
      </c>
      <c r="AR47" s="335">
        <f ca="1">MAX( ((( _Pago_Fijo - (_Interes_Regular_Original * (1 + Iva.Intereses)) ))), _Stopper_Capital_Original _Actual )</f>
        <v>0</v>
      </c>
      <c r="AS47" s="97">
        <f ca="1">MAX(_Saldo_Inicial_Original _Actual - _Capital_Original _Actual, 0)</f>
        <v>0</v>
      </c>
      <c r="AT47"/>
      <c r="AU47" s="20">
        <f t="shared" ca="1" si="18"/>
        <v>0</v>
      </c>
      <c r="AV47" s="20">
        <f t="shared" ca="1" si="19"/>
        <v>0</v>
      </c>
      <c r="AW47" s="20">
        <f t="shared" ca="1" si="20"/>
        <v>0</v>
      </c>
      <c r="AX47" s="97">
        <f ca="1">IF( AND(_Abono_Anticipado _Anterior = 0, _Ciclicas &lt;&gt; 1 ), _Pago_Proyectado _Anterior, SUM(_Componentes_Pago_Proyectado _Actual))</f>
        <v>0</v>
      </c>
      <c r="AY47" s="335">
        <f t="shared" ca="1" si="21"/>
        <v>0</v>
      </c>
      <c r="AZ47" s="335">
        <f t="shared" ca="1" si="22"/>
        <v>0</v>
      </c>
      <c r="BB47" s="20">
        <f t="shared" ca="1" si="23"/>
        <v>0</v>
      </c>
      <c r="BC47" s="309">
        <f t="shared" si="24"/>
        <v>30</v>
      </c>
      <c r="BD47" s="20">
        <f t="shared" ca="1" si="25"/>
        <v>0</v>
      </c>
      <c r="BE47" s="97">
        <f t="shared" ca="1" si="26"/>
        <v>0</v>
      </c>
      <c r="BF47" s="14"/>
      <c r="BG47" s="14"/>
      <c r="BI47" s="44"/>
      <c r="BJ47" s="102"/>
      <c r="BK47" s="32"/>
      <c r="BL47" s="32"/>
      <c r="BR47" s="14"/>
      <c r="BS47" s="14"/>
      <c r="BT47" s="14"/>
      <c r="BU47" s="14"/>
      <c r="BV47" s="14"/>
      <c r="BY47" s="14"/>
      <c r="BZ47" s="14"/>
      <c r="CA47" s="14"/>
    </row>
    <row r="48" spans="2:79">
      <c r="B48" s="32"/>
      <c r="C48" s="32"/>
      <c r="J48" s="14">
        <v>29</v>
      </c>
      <c r="L48" s="97">
        <f ca="1">MAX( _Saldo_Final _Anterior + _Saldo_Ciclico,0)</f>
        <v>0</v>
      </c>
      <c r="M48" s="97">
        <f ca="1">MIN( CHOOSE(Opcion.Abono, _Capital_Opcion_1, _Capital_Opcion_2, _Capital_Opcion_3) _Actual, _Saldo_Inicial _Actual)</f>
        <v>0</v>
      </c>
      <c r="N48" s="97">
        <f t="shared" ca="1" si="0"/>
        <v>0</v>
      </c>
      <c r="O48" s="309">
        <f ca="1">MAX( _Capital_Elegida _Actual, _Stopper_Capital _Actual)</f>
        <v>0</v>
      </c>
      <c r="P48" s="118">
        <f t="shared" ca="1" si="1"/>
        <v>0</v>
      </c>
      <c r="Q48" s="118">
        <f t="shared" ca="1" si="2"/>
        <v>0</v>
      </c>
      <c r="R48" s="309">
        <f>Fechas!_Dias_Interes_Pago</f>
        <v>30</v>
      </c>
      <c r="S48" s="20">
        <f t="shared" ca="1" si="3"/>
        <v>0</v>
      </c>
      <c r="T48" s="20">
        <f t="shared" ca="1" si="4"/>
        <v>0</v>
      </c>
      <c r="U48" s="20">
        <f t="shared" ca="1" si="5"/>
        <v>0</v>
      </c>
      <c r="V48" s="310">
        <f ca="1">T_Merger!_Salida_Abono_2</f>
        <v>0</v>
      </c>
      <c r="W48" s="20">
        <f t="shared" ca="1" si="6"/>
        <v>0</v>
      </c>
      <c r="X48"/>
      <c r="Y48" s="276">
        <v>0</v>
      </c>
      <c r="Z48" s="20">
        <f t="shared" ca="1" si="7"/>
        <v>0</v>
      </c>
      <c r="AA48" s="20">
        <f ca="1">_Abono_Sobrante + IF(_Ciclicas = 1, 0, _Sobrante_Acumulado_x_Ciclo _Anterior)</f>
        <v>0</v>
      </c>
      <c r="AB48" s="20">
        <f ca="1">IF(AND(_Ciclicas=1, _Ciclo&gt;1),  _Sobrante_Acumulado_x_Ciclo _Anterior,0)</f>
        <v>0</v>
      </c>
      <c r="AD48" s="14">
        <f t="shared" ca="1" si="8"/>
        <v>0</v>
      </c>
      <c r="AE48" s="14">
        <f t="shared" ca="1" si="9"/>
        <v>5</v>
      </c>
      <c r="AF48" s="14">
        <f t="shared" ca="1" si="10"/>
        <v>8</v>
      </c>
      <c r="AG48" s="14">
        <f ca="1">MIN(_Ciclicas_Remanentes _Actual, _Remanentes _Actual)</f>
        <v>0</v>
      </c>
      <c r="AH48" s="32">
        <f t="shared" ca="1" si="11"/>
        <v>3</v>
      </c>
      <c r="AJ48" s="20">
        <f t="shared" ca="1" si="12"/>
        <v>0</v>
      </c>
      <c r="AK48" s="97">
        <f t="shared" ca="1" si="13"/>
        <v>0</v>
      </c>
      <c r="AM48" s="97">
        <f ca="1">MAX( _Saldo_Final_Original _Anterior + _Saldo_Ciclico, 0)</f>
        <v>0</v>
      </c>
      <c r="AN48" s="20">
        <f t="shared" ca="1" si="14"/>
        <v>0</v>
      </c>
      <c r="AO48" s="20">
        <f t="shared" ca="1" si="15"/>
        <v>0</v>
      </c>
      <c r="AP48" s="20">
        <f t="shared" ca="1" si="16"/>
        <v>0</v>
      </c>
      <c r="AQ48" s="20">
        <f t="shared" ca="1" si="17"/>
        <v>0</v>
      </c>
      <c r="AR48" s="335">
        <f ca="1">MAX( ((( _Pago_Fijo - (_Interes_Regular_Original * (1 + Iva.Intereses)) ))), _Stopper_Capital_Original _Actual )</f>
        <v>0</v>
      </c>
      <c r="AS48" s="97">
        <f ca="1">MAX(_Saldo_Inicial_Original _Actual - _Capital_Original _Actual, 0)</f>
        <v>0</v>
      </c>
      <c r="AT48"/>
      <c r="AU48" s="20">
        <f t="shared" ca="1" si="18"/>
        <v>0</v>
      </c>
      <c r="AV48" s="20">
        <f t="shared" ca="1" si="19"/>
        <v>0</v>
      </c>
      <c r="AW48" s="20">
        <f t="shared" ca="1" si="20"/>
        <v>0</v>
      </c>
      <c r="AX48" s="97">
        <f ca="1">IF( AND(_Abono_Anticipado _Anterior = 0, _Ciclicas &lt;&gt; 1 ), _Pago_Proyectado _Anterior, SUM(_Componentes_Pago_Proyectado _Actual))</f>
        <v>0</v>
      </c>
      <c r="AY48" s="335">
        <f t="shared" ca="1" si="21"/>
        <v>0</v>
      </c>
      <c r="AZ48" s="335">
        <f t="shared" ca="1" si="22"/>
        <v>0</v>
      </c>
      <c r="BB48" s="20">
        <f t="shared" ca="1" si="23"/>
        <v>0</v>
      </c>
      <c r="BC48" s="309">
        <f t="shared" si="24"/>
        <v>30</v>
      </c>
      <c r="BD48" s="20">
        <f t="shared" ca="1" si="25"/>
        <v>0</v>
      </c>
      <c r="BE48" s="97">
        <f t="shared" ca="1" si="26"/>
        <v>0</v>
      </c>
      <c r="BF48" s="14"/>
      <c r="BG48" s="14"/>
      <c r="BI48" s="44"/>
      <c r="BJ48" s="102"/>
      <c r="BK48" s="32"/>
      <c r="BL48" s="32"/>
      <c r="BR48" s="14"/>
      <c r="BS48" s="14"/>
      <c r="BT48" s="14"/>
      <c r="BU48" s="14"/>
      <c r="BV48" s="14"/>
      <c r="BY48" s="14"/>
      <c r="BZ48" s="14"/>
      <c r="CA48" s="14"/>
    </row>
    <row r="49" spans="2:79">
      <c r="B49" s="32"/>
      <c r="C49" s="32"/>
      <c r="J49" s="14">
        <v>30</v>
      </c>
      <c r="L49" s="97">
        <f ca="1">MAX( _Saldo_Final _Anterior + _Saldo_Ciclico,0)</f>
        <v>0</v>
      </c>
      <c r="M49" s="97">
        <f ca="1">MIN( CHOOSE(Opcion.Abono, _Capital_Opcion_1, _Capital_Opcion_2, _Capital_Opcion_3) _Actual, _Saldo_Inicial _Actual)</f>
        <v>0</v>
      </c>
      <c r="N49" s="97">
        <f t="shared" ca="1" si="0"/>
        <v>0</v>
      </c>
      <c r="O49" s="309">
        <f ca="1">MAX( _Capital_Elegida _Actual, _Stopper_Capital _Actual)</f>
        <v>0</v>
      </c>
      <c r="P49" s="118">
        <f t="shared" ca="1" si="1"/>
        <v>0</v>
      </c>
      <c r="Q49" s="118">
        <f t="shared" ca="1" si="2"/>
        <v>0</v>
      </c>
      <c r="R49" s="309">
        <f>Fechas!_Dias_Interes_Pago</f>
        <v>30</v>
      </c>
      <c r="S49" s="20">
        <f t="shared" ca="1" si="3"/>
        <v>0</v>
      </c>
      <c r="T49" s="20">
        <f t="shared" ca="1" si="4"/>
        <v>0</v>
      </c>
      <c r="U49" s="20">
        <f t="shared" ca="1" si="5"/>
        <v>0</v>
      </c>
      <c r="V49" s="310">
        <f ca="1">T_Merger!_Salida_Abono_2</f>
        <v>0</v>
      </c>
      <c r="W49" s="20">
        <f t="shared" ca="1" si="6"/>
        <v>0</v>
      </c>
      <c r="X49"/>
      <c r="Y49" s="276">
        <v>0</v>
      </c>
      <c r="Z49" s="20">
        <f t="shared" ca="1" si="7"/>
        <v>0</v>
      </c>
      <c r="AA49" s="20">
        <f ca="1">_Abono_Sobrante + IF(_Ciclicas = 1, 0, _Sobrante_Acumulado_x_Ciclo _Anterior)</f>
        <v>0</v>
      </c>
      <c r="AB49" s="20">
        <f ca="1">IF(AND(_Ciclicas=1, _Ciclo&gt;1),  _Sobrante_Acumulado_x_Ciclo _Anterior,0)</f>
        <v>0</v>
      </c>
      <c r="AD49" s="14">
        <f t="shared" ca="1" si="8"/>
        <v>0</v>
      </c>
      <c r="AE49" s="14">
        <f t="shared" ca="1" si="9"/>
        <v>6</v>
      </c>
      <c r="AF49" s="14">
        <f t="shared" ca="1" si="10"/>
        <v>7</v>
      </c>
      <c r="AG49" s="14">
        <f ca="1">MIN(_Ciclicas_Remanentes _Actual, _Remanentes _Actual)</f>
        <v>0</v>
      </c>
      <c r="AH49" s="32">
        <f t="shared" ca="1" si="11"/>
        <v>3</v>
      </c>
      <c r="AJ49" s="20">
        <f t="shared" ca="1" si="12"/>
        <v>0</v>
      </c>
      <c r="AK49" s="97">
        <f t="shared" ca="1" si="13"/>
        <v>0</v>
      </c>
      <c r="AM49" s="97">
        <f ca="1">MAX( _Saldo_Final_Original _Anterior + _Saldo_Ciclico, 0)</f>
        <v>0</v>
      </c>
      <c r="AN49" s="20">
        <f t="shared" ca="1" si="14"/>
        <v>0</v>
      </c>
      <c r="AO49" s="20">
        <f t="shared" ca="1" si="15"/>
        <v>0</v>
      </c>
      <c r="AP49" s="20">
        <f t="shared" ca="1" si="16"/>
        <v>0</v>
      </c>
      <c r="AQ49" s="20">
        <f t="shared" ca="1" si="17"/>
        <v>0</v>
      </c>
      <c r="AR49" s="335">
        <f ca="1">MAX( ((( _Pago_Fijo - (_Interes_Regular_Original * (1 + Iva.Intereses)) ))), _Stopper_Capital_Original _Actual )</f>
        <v>0</v>
      </c>
      <c r="AS49" s="97">
        <f ca="1">MAX(_Saldo_Inicial_Original _Actual - _Capital_Original _Actual, 0)</f>
        <v>0</v>
      </c>
      <c r="AT49"/>
      <c r="AU49" s="20">
        <f t="shared" ca="1" si="18"/>
        <v>0</v>
      </c>
      <c r="AV49" s="20">
        <f t="shared" ca="1" si="19"/>
        <v>0</v>
      </c>
      <c r="AW49" s="20">
        <f t="shared" ca="1" si="20"/>
        <v>0</v>
      </c>
      <c r="AX49" s="97">
        <f ca="1">IF( AND(_Abono_Anticipado _Anterior = 0, _Ciclicas &lt;&gt; 1 ), _Pago_Proyectado _Anterior, SUM(_Componentes_Pago_Proyectado _Actual))</f>
        <v>0</v>
      </c>
      <c r="AY49" s="335">
        <f t="shared" ca="1" si="21"/>
        <v>0</v>
      </c>
      <c r="AZ49" s="335">
        <f t="shared" ca="1" si="22"/>
        <v>0</v>
      </c>
      <c r="BB49" s="20">
        <f t="shared" ca="1" si="23"/>
        <v>0</v>
      </c>
      <c r="BC49" s="309">
        <f t="shared" si="24"/>
        <v>30</v>
      </c>
      <c r="BD49" s="20">
        <f t="shared" ca="1" si="25"/>
        <v>0</v>
      </c>
      <c r="BE49" s="97">
        <f t="shared" ca="1" si="26"/>
        <v>0</v>
      </c>
      <c r="BF49" s="14"/>
      <c r="BG49" s="14"/>
      <c r="BI49" s="44"/>
      <c r="BJ49" s="102"/>
      <c r="BK49" s="32"/>
      <c r="BL49" s="32"/>
      <c r="BR49" s="14"/>
      <c r="BS49" s="14"/>
      <c r="BT49" s="14"/>
      <c r="BU49" s="14"/>
      <c r="BV49" s="14"/>
      <c r="BY49" s="14"/>
      <c r="BZ49" s="14"/>
      <c r="CA49" s="14"/>
    </row>
    <row r="50" spans="2:79">
      <c r="B50" s="32"/>
      <c r="C50" s="32"/>
      <c r="J50" s="14">
        <v>31</v>
      </c>
      <c r="L50" s="97">
        <f ca="1">MAX( _Saldo_Final _Anterior + _Saldo_Ciclico,0)</f>
        <v>0</v>
      </c>
      <c r="M50" s="97">
        <f ca="1">MIN( CHOOSE(Opcion.Abono, _Capital_Opcion_1, _Capital_Opcion_2, _Capital_Opcion_3) _Actual, _Saldo_Inicial _Actual)</f>
        <v>0</v>
      </c>
      <c r="N50" s="97">
        <f t="shared" ca="1" si="0"/>
        <v>0</v>
      </c>
      <c r="O50" s="309">
        <f ca="1">MAX( _Capital_Elegida _Actual, _Stopper_Capital _Actual)</f>
        <v>0</v>
      </c>
      <c r="P50" s="118">
        <f t="shared" ca="1" si="1"/>
        <v>0</v>
      </c>
      <c r="Q50" s="118">
        <f t="shared" ca="1" si="2"/>
        <v>0</v>
      </c>
      <c r="R50" s="309">
        <f>Fechas!_Dias_Interes_Pago</f>
        <v>30</v>
      </c>
      <c r="S50" s="20">
        <f t="shared" ca="1" si="3"/>
        <v>0</v>
      </c>
      <c r="T50" s="20">
        <f t="shared" ca="1" si="4"/>
        <v>0</v>
      </c>
      <c r="U50" s="20">
        <f t="shared" ca="1" si="5"/>
        <v>0</v>
      </c>
      <c r="V50" s="310">
        <f ca="1">T_Merger!_Salida_Abono_2</f>
        <v>0</v>
      </c>
      <c r="W50" s="20">
        <f t="shared" ca="1" si="6"/>
        <v>0</v>
      </c>
      <c r="X50"/>
      <c r="Y50" s="276">
        <v>0</v>
      </c>
      <c r="Z50" s="20">
        <f t="shared" ca="1" si="7"/>
        <v>0</v>
      </c>
      <c r="AA50" s="20">
        <f ca="1">_Abono_Sobrante + IF(_Ciclicas = 1, 0, _Sobrante_Acumulado_x_Ciclo _Anterior)</f>
        <v>0</v>
      </c>
      <c r="AB50" s="20">
        <f ca="1">IF(AND(_Ciclicas=1, _Ciclo&gt;1),  _Sobrante_Acumulado_x_Ciclo _Anterior,0)</f>
        <v>0</v>
      </c>
      <c r="AD50" s="14">
        <f t="shared" ca="1" si="8"/>
        <v>0</v>
      </c>
      <c r="AE50" s="14">
        <f t="shared" ca="1" si="9"/>
        <v>7</v>
      </c>
      <c r="AF50" s="14">
        <f t="shared" ca="1" si="10"/>
        <v>6</v>
      </c>
      <c r="AG50" s="14">
        <f ca="1">MIN(_Ciclicas_Remanentes _Actual, _Remanentes _Actual)</f>
        <v>0</v>
      </c>
      <c r="AH50" s="32">
        <f t="shared" ca="1" si="11"/>
        <v>3</v>
      </c>
      <c r="AJ50" s="20">
        <f t="shared" ca="1" si="12"/>
        <v>0</v>
      </c>
      <c r="AK50" s="97">
        <f t="shared" ca="1" si="13"/>
        <v>0</v>
      </c>
      <c r="AM50" s="97">
        <f ca="1">MAX( _Saldo_Final_Original _Anterior + _Saldo_Ciclico, 0)</f>
        <v>0</v>
      </c>
      <c r="AN50" s="20">
        <f t="shared" ca="1" si="14"/>
        <v>0</v>
      </c>
      <c r="AO50" s="20">
        <f t="shared" ca="1" si="15"/>
        <v>0</v>
      </c>
      <c r="AP50" s="20">
        <f t="shared" ca="1" si="16"/>
        <v>0</v>
      </c>
      <c r="AQ50" s="20">
        <f t="shared" ca="1" si="17"/>
        <v>0</v>
      </c>
      <c r="AR50" s="335">
        <f ca="1">MAX( ((( _Pago_Fijo - (_Interes_Regular_Original * (1 + Iva.Intereses)) ))), _Stopper_Capital_Original _Actual )</f>
        <v>0</v>
      </c>
      <c r="AS50" s="97">
        <f ca="1">MAX(_Saldo_Inicial_Original _Actual - _Capital_Original _Actual, 0)</f>
        <v>0</v>
      </c>
      <c r="AT50"/>
      <c r="AU50" s="20">
        <f t="shared" ca="1" si="18"/>
        <v>0</v>
      </c>
      <c r="AV50" s="20">
        <f t="shared" ca="1" si="19"/>
        <v>0</v>
      </c>
      <c r="AW50" s="20">
        <f t="shared" ca="1" si="20"/>
        <v>0</v>
      </c>
      <c r="AX50" s="97">
        <f ca="1">IF( AND(_Abono_Anticipado _Anterior = 0, _Ciclicas &lt;&gt; 1 ), _Pago_Proyectado _Anterior, SUM(_Componentes_Pago_Proyectado _Actual))</f>
        <v>0</v>
      </c>
      <c r="AY50" s="335">
        <f t="shared" ca="1" si="21"/>
        <v>0</v>
      </c>
      <c r="AZ50" s="335">
        <f t="shared" ca="1" si="22"/>
        <v>0</v>
      </c>
      <c r="BB50" s="20">
        <f t="shared" ca="1" si="23"/>
        <v>0</v>
      </c>
      <c r="BC50" s="309">
        <f t="shared" si="24"/>
        <v>30</v>
      </c>
      <c r="BD50" s="20">
        <f t="shared" ca="1" si="25"/>
        <v>0</v>
      </c>
      <c r="BE50" s="97">
        <f t="shared" ca="1" si="26"/>
        <v>0</v>
      </c>
      <c r="BF50" s="14"/>
      <c r="BG50" s="14"/>
      <c r="BI50" s="44"/>
      <c r="BJ50" s="102"/>
      <c r="BK50" s="32"/>
      <c r="BL50" s="32"/>
      <c r="BR50" s="14"/>
      <c r="BS50" s="14"/>
      <c r="BT50" s="14"/>
      <c r="BU50" s="14"/>
      <c r="BV50" s="14"/>
      <c r="BY50" s="14"/>
      <c r="BZ50" s="14"/>
      <c r="CA50" s="14"/>
    </row>
    <row r="51" spans="2:79">
      <c r="B51" s="32"/>
      <c r="C51" s="32"/>
      <c r="J51" s="14">
        <v>32</v>
      </c>
      <c r="L51" s="97">
        <f ca="1">MAX( _Saldo_Final _Anterior + _Saldo_Ciclico,0)</f>
        <v>0</v>
      </c>
      <c r="M51" s="97">
        <f ca="1">MIN( CHOOSE(Opcion.Abono, _Capital_Opcion_1, _Capital_Opcion_2, _Capital_Opcion_3) _Actual, _Saldo_Inicial _Actual)</f>
        <v>0</v>
      </c>
      <c r="N51" s="97">
        <f t="shared" ca="1" si="0"/>
        <v>0</v>
      </c>
      <c r="O51" s="309">
        <f ca="1">MAX( _Capital_Elegida _Actual, _Stopper_Capital _Actual)</f>
        <v>0</v>
      </c>
      <c r="P51" s="118">
        <f t="shared" ca="1" si="1"/>
        <v>0</v>
      </c>
      <c r="Q51" s="118">
        <f t="shared" ca="1" si="2"/>
        <v>0</v>
      </c>
      <c r="R51" s="309">
        <f>Fechas!_Dias_Interes_Pago</f>
        <v>30</v>
      </c>
      <c r="S51" s="20">
        <f t="shared" ca="1" si="3"/>
        <v>0</v>
      </c>
      <c r="T51" s="20">
        <f t="shared" ca="1" si="4"/>
        <v>0</v>
      </c>
      <c r="U51" s="20">
        <f t="shared" ca="1" si="5"/>
        <v>0</v>
      </c>
      <c r="V51" s="310">
        <f ca="1">T_Merger!_Salida_Abono_2</f>
        <v>0</v>
      </c>
      <c r="W51" s="20">
        <f t="shared" ca="1" si="6"/>
        <v>0</v>
      </c>
      <c r="X51"/>
      <c r="Y51" s="276">
        <v>0</v>
      </c>
      <c r="Z51" s="20">
        <f t="shared" ca="1" si="7"/>
        <v>0</v>
      </c>
      <c r="AA51" s="20">
        <f ca="1">_Abono_Sobrante + IF(_Ciclicas = 1, 0, _Sobrante_Acumulado_x_Ciclo _Anterior)</f>
        <v>0</v>
      </c>
      <c r="AB51" s="20">
        <f ca="1">IF(AND(_Ciclicas=1, _Ciclo&gt;1),  _Sobrante_Acumulado_x_Ciclo _Anterior,0)</f>
        <v>0</v>
      </c>
      <c r="AD51" s="14">
        <f t="shared" ca="1" si="8"/>
        <v>0</v>
      </c>
      <c r="AE51" s="14">
        <f t="shared" ca="1" si="9"/>
        <v>8</v>
      </c>
      <c r="AF51" s="14">
        <f t="shared" ca="1" si="10"/>
        <v>5</v>
      </c>
      <c r="AG51" s="14">
        <f ca="1">MIN(_Ciclicas_Remanentes _Actual, _Remanentes _Actual)</f>
        <v>0</v>
      </c>
      <c r="AH51" s="32">
        <f t="shared" ca="1" si="11"/>
        <v>3</v>
      </c>
      <c r="AJ51" s="20">
        <f t="shared" ca="1" si="12"/>
        <v>0</v>
      </c>
      <c r="AK51" s="97">
        <f t="shared" ca="1" si="13"/>
        <v>0</v>
      </c>
      <c r="AM51" s="97">
        <f ca="1">MAX( _Saldo_Final_Original _Anterior + _Saldo_Ciclico, 0)</f>
        <v>0</v>
      </c>
      <c r="AN51" s="20">
        <f t="shared" ca="1" si="14"/>
        <v>0</v>
      </c>
      <c r="AO51" s="20">
        <f t="shared" ca="1" si="15"/>
        <v>0</v>
      </c>
      <c r="AP51" s="20">
        <f t="shared" ca="1" si="16"/>
        <v>0</v>
      </c>
      <c r="AQ51" s="20">
        <f t="shared" ca="1" si="17"/>
        <v>0</v>
      </c>
      <c r="AR51" s="335">
        <f ca="1">MAX( ((( _Pago_Fijo - (_Interes_Regular_Original * (1 + Iva.Intereses)) ))), _Stopper_Capital_Original _Actual )</f>
        <v>0</v>
      </c>
      <c r="AS51" s="97">
        <f ca="1">MAX(_Saldo_Inicial_Original _Actual - _Capital_Original _Actual, 0)</f>
        <v>0</v>
      </c>
      <c r="AT51"/>
      <c r="AU51" s="20">
        <f t="shared" ca="1" si="18"/>
        <v>0</v>
      </c>
      <c r="AV51" s="20">
        <f t="shared" ca="1" si="19"/>
        <v>0</v>
      </c>
      <c r="AW51" s="20">
        <f t="shared" ca="1" si="20"/>
        <v>0</v>
      </c>
      <c r="AX51" s="97">
        <f ca="1">IF( AND(_Abono_Anticipado _Anterior = 0, _Ciclicas &lt;&gt; 1 ), _Pago_Proyectado _Anterior, SUM(_Componentes_Pago_Proyectado _Actual))</f>
        <v>0</v>
      </c>
      <c r="AY51" s="335">
        <f t="shared" ca="1" si="21"/>
        <v>0</v>
      </c>
      <c r="AZ51" s="335">
        <f t="shared" ca="1" si="22"/>
        <v>0</v>
      </c>
      <c r="BB51" s="20">
        <f t="shared" ca="1" si="23"/>
        <v>0</v>
      </c>
      <c r="BC51" s="309">
        <f t="shared" si="24"/>
        <v>30</v>
      </c>
      <c r="BD51" s="20">
        <f t="shared" ca="1" si="25"/>
        <v>0</v>
      </c>
      <c r="BE51" s="97">
        <f t="shared" ca="1" si="26"/>
        <v>0</v>
      </c>
      <c r="BF51" s="14"/>
      <c r="BG51" s="14"/>
      <c r="BI51" s="44"/>
      <c r="BJ51" s="102"/>
      <c r="BK51" s="32"/>
      <c r="BL51" s="32"/>
      <c r="BR51" s="14"/>
      <c r="BS51" s="14"/>
      <c r="BT51" s="14"/>
      <c r="BU51" s="14"/>
      <c r="BV51" s="14"/>
      <c r="BY51" s="14"/>
      <c r="BZ51" s="14"/>
      <c r="CA51" s="14"/>
    </row>
    <row r="52" spans="2:79">
      <c r="B52" s="32"/>
      <c r="C52" s="32"/>
      <c r="J52" s="14">
        <v>33</v>
      </c>
      <c r="L52" s="97">
        <f ca="1">MAX( _Saldo_Final _Anterior + _Saldo_Ciclico,0)</f>
        <v>0</v>
      </c>
      <c r="M52" s="97">
        <f ca="1">MIN( CHOOSE(Opcion.Abono, _Capital_Opcion_1, _Capital_Opcion_2, _Capital_Opcion_3) _Actual, _Saldo_Inicial _Actual)</f>
        <v>0</v>
      </c>
      <c r="N52" s="97">
        <f t="shared" ref="N52:N78" ca="1" si="27">_Saldo_Inicial * ( _Amortizacion = Numero.Pagos )</f>
        <v>0</v>
      </c>
      <c r="O52" s="309">
        <f ca="1">MAX( _Capital_Elegida _Actual, _Stopper_Capital _Actual)</f>
        <v>0</v>
      </c>
      <c r="P52" s="118">
        <f t="shared" ref="P52:P78" ca="1" si="28">_Saldo_Inicial * Tasa.Diaria</f>
        <v>0</v>
      </c>
      <c r="Q52" s="118">
        <f t="shared" ca="1" si="2"/>
        <v>0</v>
      </c>
      <c r="R52" s="309">
        <f>Fechas!_Dias_Interes_Pago</f>
        <v>30</v>
      </c>
      <c r="S52" s="20">
        <f t="shared" ref="S52:S78" ca="1" si="29">_Interes_Diario * _Dias_Interes_Periodo</f>
        <v>0</v>
      </c>
      <c r="T52" s="20">
        <f t="shared" ref="T52:T78" ca="1" si="30">_Interes *Iva.Intereses</f>
        <v>0</v>
      </c>
      <c r="U52" s="20">
        <f t="shared" ref="U52:U78" ca="1" si="31">_Capital + _Interes + _Iva</f>
        <v>0</v>
      </c>
      <c r="V52" s="310">
        <f ca="1">T_Merger!_Salida_Abono_2</f>
        <v>0</v>
      </c>
      <c r="W52" s="20">
        <f t="shared" ref="W52:W78" ca="1" si="32">MAX( _Saldo_Inicial - _Capital-_Abono_Anticipado,0)</f>
        <v>0</v>
      </c>
      <c r="X52"/>
      <c r="Y52" s="276">
        <v>0</v>
      </c>
      <c r="Z52" s="20">
        <f t="shared" ref="Z52:Z78" ca="1" si="33">-MIN( _Saldo_Inicial - _Capital - _Abono_Anticipado, 0 )</f>
        <v>0</v>
      </c>
      <c r="AA52" s="20">
        <f ca="1">_Abono_Sobrante + IF(_Ciclicas = 1, 0, _Sobrante_Acumulado_x_Ciclo _Anterior)</f>
        <v>0</v>
      </c>
      <c r="AB52" s="20">
        <f ca="1">IF(AND(_Ciclicas=1, _Ciclo&gt;1),  _Sobrante_Acumulado_x_Ciclo _Anterior,0)</f>
        <v>0</v>
      </c>
      <c r="AD52" s="14">
        <f t="shared" ref="AD52:AD78" ca="1" si="34">MAX( Numero.Pagos - _Amortizacion + 1, 0 )</f>
        <v>0</v>
      </c>
      <c r="AE52" s="14">
        <f t="shared" ref="AE52:AE78" ca="1" si="35">MOD( _Amortizacion - 1, Periodos.Por.Ciclo ) + 1</f>
        <v>9</v>
      </c>
      <c r="AF52" s="14">
        <f t="shared" ref="AF52:AF78" ca="1" si="36" xml:space="preserve"> Periodos.Por.Ciclo - _Ciclicas + 1</f>
        <v>4</v>
      </c>
      <c r="AG52" s="14">
        <f ca="1">MIN(_Ciclicas_Remanentes _Actual, _Remanentes _Actual)</f>
        <v>0</v>
      </c>
      <c r="AH52" s="32">
        <f t="shared" ref="AH52:AH78" ca="1" si="37">INT(( _Amortizacion - 1 ) / Periodos.Por.Ciclo ) + 1</f>
        <v>3</v>
      </c>
      <c r="AJ52" s="20">
        <f t="shared" ca="1" si="12"/>
        <v>0</v>
      </c>
      <c r="AK52" s="97">
        <f t="shared" ref="AK52:AK78" ca="1" si="38" xml:space="preserve"> ( Pago.Fijo + ( Pago.Extra.Ciclo.1 * ( _Ciclo = 1 ) ) ) * ( _Amortizacion &lt;= Numero.Pagos )</f>
        <v>0</v>
      </c>
      <c r="AM52" s="97">
        <f ca="1">MAX( _Saldo_Final_Original _Anterior + _Saldo_Ciclico, 0)</f>
        <v>0</v>
      </c>
      <c r="AN52" s="20">
        <f t="shared" ref="AN52:AN78" ca="1" si="39">_Saldo_Inicial_Original * Tasa.Diaria</f>
        <v>0</v>
      </c>
      <c r="AO52" s="20">
        <f t="shared" ca="1" si="15"/>
        <v>0</v>
      </c>
      <c r="AP52" s="20">
        <f t="shared" ref="AP52:AP78" ca="1" si="40">_Interes_Diario_Original * _Dias_Interes_Periodo</f>
        <v>0</v>
      </c>
      <c r="AQ52" s="20">
        <f t="shared" ref="AQ52:AQ78" ca="1" si="41">_Saldo_Inicial_Original * ( _Amortizacion = Numero.Pagos )</f>
        <v>0</v>
      </c>
      <c r="AR52" s="335">
        <f ca="1">MAX( ((( _Pago_Fijo - (_Interes_Regular_Original * (1 + Iva.Intereses)) ))), _Stopper_Capital_Original _Actual )</f>
        <v>0</v>
      </c>
      <c r="AS52" s="97">
        <f ca="1">MAX(_Saldo_Inicial_Original _Actual - _Capital_Original _Actual, 0)</f>
        <v>0</v>
      </c>
      <c r="AT52"/>
      <c r="AU52" s="20">
        <f t="shared" ref="AU52:AU78" ca="1" si="42" xml:space="preserve"> _Capital_Original</f>
        <v>0</v>
      </c>
      <c r="AV52" s="20">
        <f t="shared" ref="AV52:AV78" ca="1" si="43">-PPMT(Tasa.Por.Periodo*(1+Iva.Intereses),1,_Ciclicas_Remanentes,_Saldo_Inicial)</f>
        <v>0</v>
      </c>
      <c r="AW52" s="20">
        <f t="shared" ref="AW52:AW78" ca="1" si="44">-IPMT(Tasa.Diaria.Por.Periodo*(1+Iva.Intereses),1,_Ciclicas_Remanentes,_Saldo_Inicial)</f>
        <v>0</v>
      </c>
      <c r="AX52" s="97">
        <f ca="1">IF( AND(_Abono_Anticipado _Anterior = 0, _Ciclicas &lt;&gt; 1 ), _Pago_Proyectado _Anterior, SUM(_Componentes_Pago_Proyectado _Actual))</f>
        <v>0</v>
      </c>
      <c r="AY52" s="335">
        <f t="shared" ca="1" si="21"/>
        <v>0</v>
      </c>
      <c r="AZ52" s="335">
        <f t="shared" ca="1" si="22"/>
        <v>0</v>
      </c>
      <c r="BB52" s="20">
        <f t="shared" ref="BB52:BB78" ca="1" si="45">_Interes_Diario_Original</f>
        <v>0</v>
      </c>
      <c r="BC52" s="309">
        <f t="shared" ref="BC52:BC79" si="46">Dias.Por.Periodo</f>
        <v>30</v>
      </c>
      <c r="BD52" s="20">
        <f t="shared" ref="BD52:BD78" ca="1" si="47">_Interes_Diario_CAT * _Dias_Interes_CAT</f>
        <v>0</v>
      </c>
      <c r="BE52" s="97">
        <f t="shared" ca="1" si="26"/>
        <v>0</v>
      </c>
      <c r="BF52" s="14"/>
      <c r="BG52" s="14"/>
      <c r="BI52" s="44"/>
      <c r="BJ52" s="102"/>
      <c r="BK52" s="32"/>
      <c r="BL52" s="32"/>
      <c r="BR52" s="14"/>
      <c r="BS52" s="14"/>
      <c r="BT52" s="14"/>
      <c r="BU52" s="14"/>
      <c r="BV52" s="14"/>
      <c r="BY52" s="14"/>
      <c r="BZ52" s="14"/>
      <c r="CA52" s="14"/>
    </row>
    <row r="53" spans="2:79">
      <c r="B53" s="32"/>
      <c r="C53" s="32"/>
      <c r="J53" s="14">
        <v>34</v>
      </c>
      <c r="L53" s="97">
        <f ca="1">MAX( _Saldo_Final _Anterior + _Saldo_Ciclico,0)</f>
        <v>0</v>
      </c>
      <c r="M53" s="97">
        <f ca="1">MIN( CHOOSE(Opcion.Abono, _Capital_Opcion_1, _Capital_Opcion_2, _Capital_Opcion_3) _Actual, _Saldo_Inicial _Actual)</f>
        <v>0</v>
      </c>
      <c r="N53" s="97">
        <f t="shared" ca="1" si="27"/>
        <v>0</v>
      </c>
      <c r="O53" s="309">
        <f ca="1">MAX( _Capital_Elegida _Actual, _Stopper_Capital _Actual)</f>
        <v>0</v>
      </c>
      <c r="P53" s="118">
        <f t="shared" ca="1" si="28"/>
        <v>0</v>
      </c>
      <c r="Q53" s="118">
        <f t="shared" ca="1" si="2"/>
        <v>0</v>
      </c>
      <c r="R53" s="309">
        <f>Fechas!_Dias_Interes_Pago</f>
        <v>30</v>
      </c>
      <c r="S53" s="20">
        <f t="shared" ca="1" si="29"/>
        <v>0</v>
      </c>
      <c r="T53" s="20">
        <f t="shared" ca="1" si="30"/>
        <v>0</v>
      </c>
      <c r="U53" s="20">
        <f t="shared" ca="1" si="31"/>
        <v>0</v>
      </c>
      <c r="V53" s="310">
        <f ca="1">T_Merger!_Salida_Abono_2</f>
        <v>0</v>
      </c>
      <c r="W53" s="20">
        <f t="shared" ca="1" si="32"/>
        <v>0</v>
      </c>
      <c r="X53"/>
      <c r="Y53" s="276">
        <v>0</v>
      </c>
      <c r="Z53" s="20">
        <f t="shared" ca="1" si="33"/>
        <v>0</v>
      </c>
      <c r="AA53" s="20">
        <f ca="1">_Abono_Sobrante + IF(_Ciclicas = 1, 0, _Sobrante_Acumulado_x_Ciclo _Anterior)</f>
        <v>0</v>
      </c>
      <c r="AB53" s="20">
        <f ca="1">IF(AND(_Ciclicas=1, _Ciclo&gt;1),  _Sobrante_Acumulado_x_Ciclo _Anterior,0)</f>
        <v>0</v>
      </c>
      <c r="AD53" s="14">
        <f t="shared" ca="1" si="34"/>
        <v>0</v>
      </c>
      <c r="AE53" s="14">
        <f t="shared" ca="1" si="35"/>
        <v>10</v>
      </c>
      <c r="AF53" s="14">
        <f t="shared" ca="1" si="36"/>
        <v>3</v>
      </c>
      <c r="AG53" s="14">
        <f ca="1">MIN(_Ciclicas_Remanentes _Actual, _Remanentes _Actual)</f>
        <v>0</v>
      </c>
      <c r="AH53" s="32">
        <f t="shared" ca="1" si="37"/>
        <v>3</v>
      </c>
      <c r="AJ53" s="20">
        <f t="shared" ca="1" si="12"/>
        <v>0</v>
      </c>
      <c r="AK53" s="97">
        <f t="shared" ca="1" si="38"/>
        <v>0</v>
      </c>
      <c r="AM53" s="97">
        <f ca="1">MAX( _Saldo_Final_Original _Anterior + _Saldo_Ciclico, 0)</f>
        <v>0</v>
      </c>
      <c r="AN53" s="20">
        <f t="shared" ca="1" si="39"/>
        <v>0</v>
      </c>
      <c r="AO53" s="20">
        <f t="shared" ca="1" si="15"/>
        <v>0</v>
      </c>
      <c r="AP53" s="20">
        <f t="shared" ca="1" si="40"/>
        <v>0</v>
      </c>
      <c r="AQ53" s="20">
        <f t="shared" ca="1" si="41"/>
        <v>0</v>
      </c>
      <c r="AR53" s="335">
        <f ca="1">MAX( ((( _Pago_Fijo - (_Interes_Regular_Original * (1 + Iva.Intereses)) ))), _Stopper_Capital_Original _Actual )</f>
        <v>0</v>
      </c>
      <c r="AS53" s="97">
        <f ca="1">MAX(_Saldo_Inicial_Original _Actual - _Capital_Original _Actual, 0)</f>
        <v>0</v>
      </c>
      <c r="AT53"/>
      <c r="AU53" s="20">
        <f t="shared" ca="1" si="42"/>
        <v>0</v>
      </c>
      <c r="AV53" s="20">
        <f t="shared" ca="1" si="43"/>
        <v>0</v>
      </c>
      <c r="AW53" s="20">
        <f t="shared" ca="1" si="44"/>
        <v>0</v>
      </c>
      <c r="AX53" s="97">
        <f ca="1">IF( AND(_Abono_Anticipado _Anterior = 0, _Ciclicas &lt;&gt; 1 ), _Pago_Proyectado _Anterior, SUM(_Componentes_Pago_Proyectado _Actual))</f>
        <v>0</v>
      </c>
      <c r="AY53" s="335">
        <f t="shared" ca="1" si="21"/>
        <v>0</v>
      </c>
      <c r="AZ53" s="335">
        <f t="shared" ca="1" si="22"/>
        <v>0</v>
      </c>
      <c r="BB53" s="20">
        <f t="shared" ca="1" si="45"/>
        <v>0</v>
      </c>
      <c r="BC53" s="309">
        <f t="shared" si="46"/>
        <v>30</v>
      </c>
      <c r="BD53" s="20">
        <f t="shared" ca="1" si="47"/>
        <v>0</v>
      </c>
      <c r="BE53" s="97">
        <f t="shared" ref="BE53:BE78" ca="1" si="48">( _Capital_Original + _Interes_CAT - _Saldo_Ciclico)  * (_Amortizacion &lt;= Numero.Pagos)</f>
        <v>0</v>
      </c>
      <c r="BF53" s="14"/>
      <c r="BG53" s="14"/>
      <c r="BI53" s="44"/>
      <c r="BJ53" s="102"/>
      <c r="BK53" s="32"/>
      <c r="BL53" s="32"/>
      <c r="BR53" s="14"/>
      <c r="BS53" s="14"/>
      <c r="BT53" s="14"/>
      <c r="BU53" s="14"/>
      <c r="BV53" s="14"/>
      <c r="BY53" s="14"/>
      <c r="BZ53" s="14"/>
      <c r="CA53" s="14"/>
    </row>
    <row r="54" spans="2:79">
      <c r="B54" s="32"/>
      <c r="C54" s="32"/>
      <c r="J54" s="14">
        <v>35</v>
      </c>
      <c r="L54" s="97">
        <f ca="1">MAX( _Saldo_Final _Anterior + _Saldo_Ciclico,0)</f>
        <v>0</v>
      </c>
      <c r="M54" s="97">
        <f ca="1">MIN( CHOOSE(Opcion.Abono, _Capital_Opcion_1, _Capital_Opcion_2, _Capital_Opcion_3) _Actual, _Saldo_Inicial _Actual)</f>
        <v>0</v>
      </c>
      <c r="N54" s="97">
        <f t="shared" ca="1" si="27"/>
        <v>0</v>
      </c>
      <c r="O54" s="309">
        <f ca="1">MAX( _Capital_Elegida _Actual, _Stopper_Capital _Actual)</f>
        <v>0</v>
      </c>
      <c r="P54" s="118">
        <f t="shared" ca="1" si="28"/>
        <v>0</v>
      </c>
      <c r="Q54" s="118">
        <f t="shared" ca="1" si="2"/>
        <v>0</v>
      </c>
      <c r="R54" s="309">
        <f>Fechas!_Dias_Interes_Pago</f>
        <v>30</v>
      </c>
      <c r="S54" s="20">
        <f t="shared" ca="1" si="29"/>
        <v>0</v>
      </c>
      <c r="T54" s="20">
        <f t="shared" ca="1" si="30"/>
        <v>0</v>
      </c>
      <c r="U54" s="20">
        <f t="shared" ca="1" si="31"/>
        <v>0</v>
      </c>
      <c r="V54" s="310">
        <f ca="1">T_Merger!_Salida_Abono_2</f>
        <v>0</v>
      </c>
      <c r="W54" s="20">
        <f t="shared" ca="1" si="32"/>
        <v>0</v>
      </c>
      <c r="X54"/>
      <c r="Y54" s="276">
        <v>0</v>
      </c>
      <c r="Z54" s="20">
        <f t="shared" ca="1" si="33"/>
        <v>0</v>
      </c>
      <c r="AA54" s="20">
        <f ca="1">_Abono_Sobrante + IF(_Ciclicas = 1, 0, _Sobrante_Acumulado_x_Ciclo _Anterior)</f>
        <v>0</v>
      </c>
      <c r="AB54" s="20">
        <f ca="1">IF(AND(_Ciclicas=1, _Ciclo&gt;1),  _Sobrante_Acumulado_x_Ciclo _Anterior,0)</f>
        <v>0</v>
      </c>
      <c r="AD54" s="14">
        <f t="shared" ca="1" si="34"/>
        <v>0</v>
      </c>
      <c r="AE54" s="14">
        <f t="shared" ca="1" si="35"/>
        <v>11</v>
      </c>
      <c r="AF54" s="14">
        <f t="shared" ca="1" si="36"/>
        <v>2</v>
      </c>
      <c r="AG54" s="14">
        <f ca="1">MIN(_Ciclicas_Remanentes _Actual, _Remanentes _Actual)</f>
        <v>0</v>
      </c>
      <c r="AH54" s="32">
        <f t="shared" ca="1" si="37"/>
        <v>3</v>
      </c>
      <c r="AJ54" s="20">
        <f t="shared" ca="1" si="12"/>
        <v>0</v>
      </c>
      <c r="AK54" s="97">
        <f t="shared" ca="1" si="38"/>
        <v>0</v>
      </c>
      <c r="AM54" s="97">
        <f ca="1">MAX( _Saldo_Final_Original _Anterior + _Saldo_Ciclico, 0)</f>
        <v>0</v>
      </c>
      <c r="AN54" s="20">
        <f t="shared" ca="1" si="39"/>
        <v>0</v>
      </c>
      <c r="AO54" s="20">
        <f t="shared" ca="1" si="15"/>
        <v>0</v>
      </c>
      <c r="AP54" s="20">
        <f t="shared" ca="1" si="40"/>
        <v>0</v>
      </c>
      <c r="AQ54" s="20">
        <f t="shared" ca="1" si="41"/>
        <v>0</v>
      </c>
      <c r="AR54" s="335">
        <f ca="1">MAX( ((( _Pago_Fijo - (_Interes_Regular_Original * (1 + Iva.Intereses)) ))), _Stopper_Capital_Original _Actual )</f>
        <v>0</v>
      </c>
      <c r="AS54" s="97">
        <f ca="1">MAX(_Saldo_Inicial_Original _Actual - _Capital_Original _Actual, 0)</f>
        <v>0</v>
      </c>
      <c r="AT54"/>
      <c r="AU54" s="20">
        <f t="shared" ca="1" si="42"/>
        <v>0</v>
      </c>
      <c r="AV54" s="20">
        <f t="shared" ca="1" si="43"/>
        <v>0</v>
      </c>
      <c r="AW54" s="20">
        <f t="shared" ca="1" si="44"/>
        <v>0</v>
      </c>
      <c r="AX54" s="97">
        <f ca="1">IF( AND(_Abono_Anticipado _Anterior = 0, _Ciclicas &lt;&gt; 1 ), _Pago_Proyectado _Anterior, SUM(_Componentes_Pago_Proyectado _Actual))</f>
        <v>0</v>
      </c>
      <c r="AY54" s="335">
        <f t="shared" ca="1" si="21"/>
        <v>0</v>
      </c>
      <c r="AZ54" s="335">
        <f t="shared" ca="1" si="22"/>
        <v>0</v>
      </c>
      <c r="BB54" s="20">
        <f t="shared" ca="1" si="45"/>
        <v>0</v>
      </c>
      <c r="BC54" s="309">
        <f t="shared" si="46"/>
        <v>30</v>
      </c>
      <c r="BD54" s="20">
        <f t="shared" ca="1" si="47"/>
        <v>0</v>
      </c>
      <c r="BE54" s="97">
        <f t="shared" ca="1" si="48"/>
        <v>0</v>
      </c>
      <c r="BF54" s="14"/>
      <c r="BG54" s="14"/>
      <c r="BI54" s="44"/>
      <c r="BJ54" s="102"/>
      <c r="BK54" s="32"/>
      <c r="BL54" s="32"/>
      <c r="BR54" s="14"/>
      <c r="BS54" s="14"/>
      <c r="BT54" s="14"/>
      <c r="BU54" s="14"/>
      <c r="BV54" s="14"/>
      <c r="BY54" s="14"/>
      <c r="BZ54" s="14"/>
      <c r="CA54" s="14"/>
    </row>
    <row r="55" spans="2:79">
      <c r="B55" s="32"/>
      <c r="C55" s="32"/>
      <c r="J55" s="14">
        <v>36</v>
      </c>
      <c r="L55" s="97">
        <f ca="1">MAX( _Saldo_Final _Anterior + _Saldo_Ciclico,0)</f>
        <v>0</v>
      </c>
      <c r="M55" s="97">
        <f ca="1">MIN( CHOOSE(Opcion.Abono, _Capital_Opcion_1, _Capital_Opcion_2, _Capital_Opcion_3) _Actual, _Saldo_Inicial _Actual)</f>
        <v>0</v>
      </c>
      <c r="N55" s="97">
        <f t="shared" ca="1" si="27"/>
        <v>0</v>
      </c>
      <c r="O55" s="309">
        <f ca="1">MAX( _Capital_Elegida _Actual, _Stopper_Capital _Actual)</f>
        <v>0</v>
      </c>
      <c r="P55" s="118">
        <f t="shared" ca="1" si="28"/>
        <v>0</v>
      </c>
      <c r="Q55" s="118">
        <f t="shared" ca="1" si="2"/>
        <v>0</v>
      </c>
      <c r="R55" s="309">
        <f>Fechas!_Dias_Interes_Pago</f>
        <v>30</v>
      </c>
      <c r="S55" s="20">
        <f t="shared" ca="1" si="29"/>
        <v>0</v>
      </c>
      <c r="T55" s="20">
        <f t="shared" ca="1" si="30"/>
        <v>0</v>
      </c>
      <c r="U55" s="20">
        <f t="shared" ca="1" si="31"/>
        <v>0</v>
      </c>
      <c r="V55" s="310">
        <f ca="1">T_Merger!_Salida_Abono_2</f>
        <v>0</v>
      </c>
      <c r="W55" s="20">
        <f t="shared" ca="1" si="32"/>
        <v>0</v>
      </c>
      <c r="X55"/>
      <c r="Y55" s="276">
        <v>0</v>
      </c>
      <c r="Z55" s="20">
        <f t="shared" ca="1" si="33"/>
        <v>0</v>
      </c>
      <c r="AA55" s="20">
        <f ca="1">_Abono_Sobrante + IF(_Ciclicas = 1, 0, _Sobrante_Acumulado_x_Ciclo _Anterior)</f>
        <v>0</v>
      </c>
      <c r="AB55" s="20">
        <f ca="1">IF(AND(_Ciclicas=1, _Ciclo&gt;1),  _Sobrante_Acumulado_x_Ciclo _Anterior,0)</f>
        <v>0</v>
      </c>
      <c r="AD55" s="14">
        <f t="shared" ca="1" si="34"/>
        <v>0</v>
      </c>
      <c r="AE55" s="14">
        <f t="shared" ca="1" si="35"/>
        <v>12</v>
      </c>
      <c r="AF55" s="14">
        <f t="shared" ca="1" si="36"/>
        <v>1</v>
      </c>
      <c r="AG55" s="14">
        <f ca="1">MIN(_Ciclicas_Remanentes _Actual, _Remanentes _Actual)</f>
        <v>0</v>
      </c>
      <c r="AH55" s="32">
        <f t="shared" ca="1" si="37"/>
        <v>3</v>
      </c>
      <c r="AJ55" s="20">
        <f t="shared" ca="1" si="12"/>
        <v>0</v>
      </c>
      <c r="AK55" s="97">
        <f t="shared" ca="1" si="38"/>
        <v>0</v>
      </c>
      <c r="AM55" s="97">
        <f ca="1">MAX( _Saldo_Final_Original _Anterior + _Saldo_Ciclico, 0)</f>
        <v>0</v>
      </c>
      <c r="AN55" s="20">
        <f t="shared" ca="1" si="39"/>
        <v>0</v>
      </c>
      <c r="AO55" s="20">
        <f t="shared" ca="1" si="15"/>
        <v>0</v>
      </c>
      <c r="AP55" s="20">
        <f t="shared" ca="1" si="40"/>
        <v>0</v>
      </c>
      <c r="AQ55" s="20">
        <f t="shared" ca="1" si="41"/>
        <v>0</v>
      </c>
      <c r="AR55" s="335">
        <f ca="1">MAX( ((( _Pago_Fijo - (_Interes_Regular_Original * (1 + Iva.Intereses)) ))), _Stopper_Capital_Original _Actual )</f>
        <v>0</v>
      </c>
      <c r="AS55" s="97">
        <f ca="1">MAX(_Saldo_Inicial_Original _Actual - _Capital_Original _Actual, 0)</f>
        <v>0</v>
      </c>
      <c r="AT55"/>
      <c r="AU55" s="20">
        <f t="shared" ca="1" si="42"/>
        <v>0</v>
      </c>
      <c r="AV55" s="20">
        <f t="shared" ca="1" si="43"/>
        <v>0</v>
      </c>
      <c r="AW55" s="20">
        <f t="shared" ca="1" si="44"/>
        <v>0</v>
      </c>
      <c r="AX55" s="97">
        <f ca="1">IF( AND(_Abono_Anticipado _Anterior = 0, _Ciclicas &lt;&gt; 1 ), _Pago_Proyectado _Anterior, SUM(_Componentes_Pago_Proyectado _Actual))</f>
        <v>0</v>
      </c>
      <c r="AY55" s="335">
        <f t="shared" ca="1" si="21"/>
        <v>0</v>
      </c>
      <c r="AZ55" s="335">
        <f t="shared" ca="1" si="22"/>
        <v>0</v>
      </c>
      <c r="BB55" s="20">
        <f t="shared" ca="1" si="45"/>
        <v>0</v>
      </c>
      <c r="BC55" s="309">
        <f t="shared" si="46"/>
        <v>30</v>
      </c>
      <c r="BD55" s="20">
        <f t="shared" ca="1" si="47"/>
        <v>0</v>
      </c>
      <c r="BE55" s="97">
        <f t="shared" ca="1" si="48"/>
        <v>0</v>
      </c>
      <c r="BF55" s="14"/>
      <c r="BG55" s="14"/>
      <c r="BI55" s="44"/>
      <c r="BJ55" s="102"/>
      <c r="BK55" s="32"/>
      <c r="BL55" s="32"/>
      <c r="BR55" s="14"/>
      <c r="BS55" s="14"/>
      <c r="BT55" s="14"/>
      <c r="BU55" s="14"/>
      <c r="BV55" s="14"/>
      <c r="BY55" s="14"/>
      <c r="BZ55" s="14"/>
      <c r="CA55" s="14"/>
    </row>
    <row r="56" spans="2:79">
      <c r="B56" s="32"/>
      <c r="C56" s="32"/>
      <c r="J56" s="14">
        <v>37</v>
      </c>
      <c r="L56" s="97">
        <f ca="1">MAX( _Saldo_Final _Anterior + _Saldo_Ciclico,0)</f>
        <v>0</v>
      </c>
      <c r="M56" s="97">
        <f ca="1">MIN( CHOOSE(Opcion.Abono, _Capital_Opcion_1, _Capital_Opcion_2, _Capital_Opcion_3) _Actual, _Saldo_Inicial _Actual)</f>
        <v>0</v>
      </c>
      <c r="N56" s="97">
        <f t="shared" ca="1" si="27"/>
        <v>0</v>
      </c>
      <c r="O56" s="309">
        <f ca="1">MAX( _Capital_Elegida _Actual, _Stopper_Capital _Actual)</f>
        <v>0</v>
      </c>
      <c r="P56" s="118">
        <f t="shared" ca="1" si="28"/>
        <v>0</v>
      </c>
      <c r="Q56" s="118">
        <f t="shared" ca="1" si="2"/>
        <v>0</v>
      </c>
      <c r="R56" s="309">
        <f>Fechas!_Dias_Interes_Pago</f>
        <v>30</v>
      </c>
      <c r="S56" s="20">
        <f t="shared" ca="1" si="29"/>
        <v>0</v>
      </c>
      <c r="T56" s="20">
        <f t="shared" ca="1" si="30"/>
        <v>0</v>
      </c>
      <c r="U56" s="20">
        <f t="shared" ca="1" si="31"/>
        <v>0</v>
      </c>
      <c r="V56" s="310">
        <f ca="1">T_Merger!_Salida_Abono_2</f>
        <v>0</v>
      </c>
      <c r="W56" s="20">
        <f t="shared" ca="1" si="32"/>
        <v>0</v>
      </c>
      <c r="X56"/>
      <c r="Y56" s="276">
        <v>0</v>
      </c>
      <c r="Z56" s="20">
        <f t="shared" ca="1" si="33"/>
        <v>0</v>
      </c>
      <c r="AA56" s="20">
        <f ca="1">_Abono_Sobrante + IF(_Ciclicas = 1, 0, _Sobrante_Acumulado_x_Ciclo _Anterior)</f>
        <v>0</v>
      </c>
      <c r="AB56" s="20">
        <f ca="1">IF(AND(_Ciclicas=1, _Ciclo&gt;1),  _Sobrante_Acumulado_x_Ciclo _Anterior,0)</f>
        <v>0</v>
      </c>
      <c r="AD56" s="14">
        <f t="shared" ca="1" si="34"/>
        <v>0</v>
      </c>
      <c r="AE56" s="14">
        <f t="shared" ca="1" si="35"/>
        <v>1</v>
      </c>
      <c r="AF56" s="14">
        <f t="shared" ca="1" si="36"/>
        <v>12</v>
      </c>
      <c r="AG56" s="14">
        <f ca="1">MIN(_Ciclicas_Remanentes _Actual, _Remanentes _Actual)</f>
        <v>0</v>
      </c>
      <c r="AH56" s="32">
        <f t="shared" ca="1" si="37"/>
        <v>4</v>
      </c>
      <c r="AJ56" s="20">
        <f t="shared" ca="1" si="12"/>
        <v>0</v>
      </c>
      <c r="AK56" s="97">
        <f t="shared" ca="1" si="38"/>
        <v>0</v>
      </c>
      <c r="AM56" s="97">
        <f ca="1">MAX( _Saldo_Final_Original _Anterior + _Saldo_Ciclico, 0)</f>
        <v>0</v>
      </c>
      <c r="AN56" s="20">
        <f t="shared" ca="1" si="39"/>
        <v>0</v>
      </c>
      <c r="AO56" s="20">
        <f t="shared" ca="1" si="15"/>
        <v>0</v>
      </c>
      <c r="AP56" s="20">
        <f t="shared" ca="1" si="40"/>
        <v>0</v>
      </c>
      <c r="AQ56" s="20">
        <f t="shared" ca="1" si="41"/>
        <v>0</v>
      </c>
      <c r="AR56" s="335">
        <f ca="1">MAX( ((( _Pago_Fijo - (_Interes_Regular_Original * (1 + Iva.Intereses)) ))), _Stopper_Capital_Original _Actual )</f>
        <v>0</v>
      </c>
      <c r="AS56" s="97">
        <f ca="1">MAX(_Saldo_Inicial_Original _Actual - _Capital_Original _Actual, 0)</f>
        <v>0</v>
      </c>
      <c r="AT56"/>
      <c r="AU56" s="20">
        <f t="shared" ca="1" si="42"/>
        <v>0</v>
      </c>
      <c r="AV56" s="20">
        <f t="shared" ca="1" si="43"/>
        <v>0</v>
      </c>
      <c r="AW56" s="20">
        <f t="shared" ca="1" si="44"/>
        <v>0</v>
      </c>
      <c r="AX56" s="97">
        <f ca="1">IF( AND(_Abono_Anticipado _Anterior = 0, _Ciclicas &lt;&gt; 1 ), _Pago_Proyectado _Anterior, SUM(_Componentes_Pago_Proyectado _Actual))</f>
        <v>0</v>
      </c>
      <c r="AY56" s="335">
        <f t="shared" ca="1" si="21"/>
        <v>0</v>
      </c>
      <c r="AZ56" s="335">
        <f t="shared" ca="1" si="22"/>
        <v>0</v>
      </c>
      <c r="BB56" s="20">
        <f t="shared" ca="1" si="45"/>
        <v>0</v>
      </c>
      <c r="BC56" s="309">
        <f t="shared" si="46"/>
        <v>30</v>
      </c>
      <c r="BD56" s="20">
        <f t="shared" ca="1" si="47"/>
        <v>0</v>
      </c>
      <c r="BE56" s="97">
        <f t="shared" ca="1" si="48"/>
        <v>0</v>
      </c>
      <c r="BF56" s="14"/>
      <c r="BG56" s="14"/>
      <c r="BI56" s="44"/>
      <c r="BJ56" s="102"/>
      <c r="BK56" s="32"/>
      <c r="BL56" s="32"/>
      <c r="BR56" s="14"/>
      <c r="BS56" s="14"/>
      <c r="BT56" s="14"/>
      <c r="BU56" s="14"/>
      <c r="BV56" s="14"/>
      <c r="BY56" s="14"/>
      <c r="BZ56" s="14"/>
      <c r="CA56" s="14"/>
    </row>
    <row r="57" spans="2:79">
      <c r="B57" s="32"/>
      <c r="C57" s="32"/>
      <c r="J57" s="14">
        <v>38</v>
      </c>
      <c r="L57" s="97">
        <f ca="1">MAX( _Saldo_Final _Anterior + _Saldo_Ciclico,0)</f>
        <v>0</v>
      </c>
      <c r="M57" s="97">
        <f ca="1">MIN( CHOOSE(Opcion.Abono, _Capital_Opcion_1, _Capital_Opcion_2, _Capital_Opcion_3) _Actual, _Saldo_Inicial _Actual)</f>
        <v>0</v>
      </c>
      <c r="N57" s="97">
        <f t="shared" ca="1" si="27"/>
        <v>0</v>
      </c>
      <c r="O57" s="309">
        <f ca="1">MAX( _Capital_Elegida _Actual, _Stopper_Capital _Actual)</f>
        <v>0</v>
      </c>
      <c r="P57" s="118">
        <f t="shared" ca="1" si="28"/>
        <v>0</v>
      </c>
      <c r="Q57" s="118">
        <f t="shared" ca="1" si="2"/>
        <v>0</v>
      </c>
      <c r="R57" s="309">
        <f>Fechas!_Dias_Interes_Pago</f>
        <v>30</v>
      </c>
      <c r="S57" s="20">
        <f t="shared" ca="1" si="29"/>
        <v>0</v>
      </c>
      <c r="T57" s="20">
        <f t="shared" ca="1" si="30"/>
        <v>0</v>
      </c>
      <c r="U57" s="20">
        <f t="shared" ca="1" si="31"/>
        <v>0</v>
      </c>
      <c r="V57" s="310">
        <f ca="1">T_Merger!_Salida_Abono_2</f>
        <v>0</v>
      </c>
      <c r="W57" s="20">
        <f t="shared" ca="1" si="32"/>
        <v>0</v>
      </c>
      <c r="X57"/>
      <c r="Y57" s="276">
        <v>0</v>
      </c>
      <c r="Z57" s="20">
        <f t="shared" ca="1" si="33"/>
        <v>0</v>
      </c>
      <c r="AA57" s="20">
        <f ca="1">_Abono_Sobrante + IF(_Ciclicas = 1, 0, _Sobrante_Acumulado_x_Ciclo _Anterior)</f>
        <v>0</v>
      </c>
      <c r="AB57" s="20">
        <f ca="1">IF(AND(_Ciclicas=1, _Ciclo&gt;1),  _Sobrante_Acumulado_x_Ciclo _Anterior,0)</f>
        <v>0</v>
      </c>
      <c r="AD57" s="14">
        <f t="shared" ca="1" si="34"/>
        <v>0</v>
      </c>
      <c r="AE57" s="14">
        <f t="shared" ca="1" si="35"/>
        <v>2</v>
      </c>
      <c r="AF57" s="14">
        <f t="shared" ca="1" si="36"/>
        <v>11</v>
      </c>
      <c r="AG57" s="14">
        <f ca="1">MIN(_Ciclicas_Remanentes _Actual, _Remanentes _Actual)</f>
        <v>0</v>
      </c>
      <c r="AH57" s="32">
        <f t="shared" ca="1" si="37"/>
        <v>4</v>
      </c>
      <c r="AJ57" s="20">
        <f t="shared" ca="1" si="12"/>
        <v>0</v>
      </c>
      <c r="AK57" s="97">
        <f t="shared" ca="1" si="38"/>
        <v>0</v>
      </c>
      <c r="AM57" s="97">
        <f ca="1">MAX( _Saldo_Final_Original _Anterior + _Saldo_Ciclico, 0)</f>
        <v>0</v>
      </c>
      <c r="AN57" s="20">
        <f t="shared" ca="1" si="39"/>
        <v>0</v>
      </c>
      <c r="AO57" s="20">
        <f t="shared" ca="1" si="15"/>
        <v>0</v>
      </c>
      <c r="AP57" s="20">
        <f t="shared" ca="1" si="40"/>
        <v>0</v>
      </c>
      <c r="AQ57" s="20">
        <f t="shared" ca="1" si="41"/>
        <v>0</v>
      </c>
      <c r="AR57" s="335">
        <f ca="1">MAX( ((( _Pago_Fijo - (_Interes_Regular_Original * (1 + Iva.Intereses)) ))), _Stopper_Capital_Original _Actual )</f>
        <v>0</v>
      </c>
      <c r="AS57" s="97">
        <f ca="1">MAX(_Saldo_Inicial_Original _Actual - _Capital_Original _Actual, 0)</f>
        <v>0</v>
      </c>
      <c r="AT57"/>
      <c r="AU57" s="20">
        <f t="shared" ca="1" si="42"/>
        <v>0</v>
      </c>
      <c r="AV57" s="20">
        <f t="shared" ca="1" si="43"/>
        <v>0</v>
      </c>
      <c r="AW57" s="20">
        <f t="shared" ca="1" si="44"/>
        <v>0</v>
      </c>
      <c r="AX57" s="97">
        <f ca="1">IF( AND(_Abono_Anticipado _Anterior = 0, _Ciclicas &lt;&gt; 1 ), _Pago_Proyectado _Anterior, SUM(_Componentes_Pago_Proyectado _Actual))</f>
        <v>0</v>
      </c>
      <c r="AY57" s="335">
        <f t="shared" ca="1" si="21"/>
        <v>0</v>
      </c>
      <c r="AZ57" s="335">
        <f t="shared" ca="1" si="22"/>
        <v>0</v>
      </c>
      <c r="BB57" s="20">
        <f t="shared" ca="1" si="45"/>
        <v>0</v>
      </c>
      <c r="BC57" s="309">
        <f t="shared" si="46"/>
        <v>30</v>
      </c>
      <c r="BD57" s="20">
        <f t="shared" ca="1" si="47"/>
        <v>0</v>
      </c>
      <c r="BE57" s="97">
        <f t="shared" ca="1" si="48"/>
        <v>0</v>
      </c>
      <c r="BF57" s="14"/>
      <c r="BG57" s="14"/>
      <c r="BI57" s="44"/>
      <c r="BJ57" s="102"/>
      <c r="BK57" s="32"/>
      <c r="BL57" s="32"/>
      <c r="BR57" s="14"/>
      <c r="BS57" s="14"/>
      <c r="BT57" s="14"/>
      <c r="BU57" s="14"/>
      <c r="BV57" s="14"/>
      <c r="BY57" s="14"/>
      <c r="BZ57" s="14"/>
      <c r="CA57" s="14"/>
    </row>
    <row r="58" spans="2:79">
      <c r="B58" s="32"/>
      <c r="C58" s="32"/>
      <c r="J58" s="14">
        <v>39</v>
      </c>
      <c r="L58" s="97">
        <f ca="1">MAX( _Saldo_Final _Anterior + _Saldo_Ciclico,0)</f>
        <v>0</v>
      </c>
      <c r="M58" s="97">
        <f ca="1">MIN( CHOOSE(Opcion.Abono, _Capital_Opcion_1, _Capital_Opcion_2, _Capital_Opcion_3) _Actual, _Saldo_Inicial _Actual)</f>
        <v>0</v>
      </c>
      <c r="N58" s="97">
        <f t="shared" ca="1" si="27"/>
        <v>0</v>
      </c>
      <c r="O58" s="309">
        <f ca="1">MAX( _Capital_Elegida _Actual, _Stopper_Capital _Actual)</f>
        <v>0</v>
      </c>
      <c r="P58" s="118">
        <f t="shared" ca="1" si="28"/>
        <v>0</v>
      </c>
      <c r="Q58" s="118">
        <f t="shared" ca="1" si="2"/>
        <v>0</v>
      </c>
      <c r="R58" s="309">
        <f>Fechas!_Dias_Interes_Pago</f>
        <v>30</v>
      </c>
      <c r="S58" s="20">
        <f t="shared" ca="1" si="29"/>
        <v>0</v>
      </c>
      <c r="T58" s="20">
        <f t="shared" ca="1" si="30"/>
        <v>0</v>
      </c>
      <c r="U58" s="20">
        <f t="shared" ca="1" si="31"/>
        <v>0</v>
      </c>
      <c r="V58" s="310">
        <f ca="1">T_Merger!_Salida_Abono_2</f>
        <v>0</v>
      </c>
      <c r="W58" s="20">
        <f t="shared" ca="1" si="32"/>
        <v>0</v>
      </c>
      <c r="X58"/>
      <c r="Y58" s="276">
        <v>0</v>
      </c>
      <c r="Z58" s="20">
        <f t="shared" ca="1" si="33"/>
        <v>0</v>
      </c>
      <c r="AA58" s="20">
        <f ca="1">_Abono_Sobrante + IF(_Ciclicas = 1, 0, _Sobrante_Acumulado_x_Ciclo _Anterior)</f>
        <v>0</v>
      </c>
      <c r="AB58" s="20">
        <f ca="1">IF(AND(_Ciclicas=1, _Ciclo&gt;1),  _Sobrante_Acumulado_x_Ciclo _Anterior,0)</f>
        <v>0</v>
      </c>
      <c r="AD58" s="14">
        <f t="shared" ca="1" si="34"/>
        <v>0</v>
      </c>
      <c r="AE58" s="14">
        <f t="shared" ca="1" si="35"/>
        <v>3</v>
      </c>
      <c r="AF58" s="14">
        <f t="shared" ca="1" si="36"/>
        <v>10</v>
      </c>
      <c r="AG58" s="14">
        <f ca="1">MIN(_Ciclicas_Remanentes _Actual, _Remanentes _Actual)</f>
        <v>0</v>
      </c>
      <c r="AH58" s="32">
        <f t="shared" ca="1" si="37"/>
        <v>4</v>
      </c>
      <c r="AJ58" s="20">
        <f t="shared" ca="1" si="12"/>
        <v>0</v>
      </c>
      <c r="AK58" s="97">
        <f t="shared" ca="1" si="38"/>
        <v>0</v>
      </c>
      <c r="AM58" s="97">
        <f ca="1">MAX( _Saldo_Final_Original _Anterior + _Saldo_Ciclico, 0)</f>
        <v>0</v>
      </c>
      <c r="AN58" s="20">
        <f t="shared" ca="1" si="39"/>
        <v>0</v>
      </c>
      <c r="AO58" s="20">
        <f t="shared" ca="1" si="15"/>
        <v>0</v>
      </c>
      <c r="AP58" s="20">
        <f t="shared" ca="1" si="40"/>
        <v>0</v>
      </c>
      <c r="AQ58" s="20">
        <f t="shared" ca="1" si="41"/>
        <v>0</v>
      </c>
      <c r="AR58" s="335">
        <f ca="1">MAX( ((( _Pago_Fijo - (_Interes_Regular_Original * (1 + Iva.Intereses)) ))), _Stopper_Capital_Original _Actual )</f>
        <v>0</v>
      </c>
      <c r="AS58" s="97">
        <f ca="1">MAX(_Saldo_Inicial_Original _Actual - _Capital_Original _Actual, 0)</f>
        <v>0</v>
      </c>
      <c r="AT58"/>
      <c r="AU58" s="20">
        <f t="shared" ca="1" si="42"/>
        <v>0</v>
      </c>
      <c r="AV58" s="20">
        <f t="shared" ca="1" si="43"/>
        <v>0</v>
      </c>
      <c r="AW58" s="20">
        <f t="shared" ca="1" si="44"/>
        <v>0</v>
      </c>
      <c r="AX58" s="97">
        <f ca="1">IF( AND(_Abono_Anticipado _Anterior = 0, _Ciclicas &lt;&gt; 1 ), _Pago_Proyectado _Anterior, SUM(_Componentes_Pago_Proyectado _Actual))</f>
        <v>0</v>
      </c>
      <c r="AY58" s="335">
        <f t="shared" ca="1" si="21"/>
        <v>0</v>
      </c>
      <c r="AZ58" s="335">
        <f t="shared" ca="1" si="22"/>
        <v>0</v>
      </c>
      <c r="BB58" s="20">
        <f t="shared" ca="1" si="45"/>
        <v>0</v>
      </c>
      <c r="BC58" s="309">
        <f t="shared" si="46"/>
        <v>30</v>
      </c>
      <c r="BD58" s="20">
        <f t="shared" ca="1" si="47"/>
        <v>0</v>
      </c>
      <c r="BE58" s="97">
        <f t="shared" ca="1" si="48"/>
        <v>0</v>
      </c>
      <c r="BF58" s="14"/>
      <c r="BG58" s="14"/>
      <c r="BI58" s="44"/>
      <c r="BJ58" s="102"/>
      <c r="BK58" s="32"/>
      <c r="BL58" s="32"/>
      <c r="BR58" s="14"/>
      <c r="BS58" s="14"/>
      <c r="BT58" s="14"/>
      <c r="BU58" s="14"/>
      <c r="BV58" s="14"/>
      <c r="BY58" s="14"/>
      <c r="BZ58" s="14"/>
      <c r="CA58" s="14"/>
    </row>
    <row r="59" spans="2:79">
      <c r="B59" s="32"/>
      <c r="C59" s="32"/>
      <c r="J59" s="14">
        <v>40</v>
      </c>
      <c r="L59" s="97">
        <f ca="1">MAX( _Saldo_Final _Anterior + _Saldo_Ciclico,0)</f>
        <v>0</v>
      </c>
      <c r="M59" s="97">
        <f ca="1">MIN( CHOOSE(Opcion.Abono, _Capital_Opcion_1, _Capital_Opcion_2, _Capital_Opcion_3) _Actual, _Saldo_Inicial _Actual)</f>
        <v>0</v>
      </c>
      <c r="N59" s="97">
        <f t="shared" ca="1" si="27"/>
        <v>0</v>
      </c>
      <c r="O59" s="309">
        <f ca="1">MAX( _Capital_Elegida _Actual, _Stopper_Capital _Actual)</f>
        <v>0</v>
      </c>
      <c r="P59" s="118">
        <f t="shared" ca="1" si="28"/>
        <v>0</v>
      </c>
      <c r="Q59" s="118">
        <f t="shared" ca="1" si="2"/>
        <v>0</v>
      </c>
      <c r="R59" s="309">
        <f>Fechas!_Dias_Interes_Pago</f>
        <v>30</v>
      </c>
      <c r="S59" s="20">
        <f t="shared" ca="1" si="29"/>
        <v>0</v>
      </c>
      <c r="T59" s="20">
        <f t="shared" ca="1" si="30"/>
        <v>0</v>
      </c>
      <c r="U59" s="20">
        <f t="shared" ca="1" si="31"/>
        <v>0</v>
      </c>
      <c r="V59" s="310">
        <f ca="1">T_Merger!_Salida_Abono_2</f>
        <v>0</v>
      </c>
      <c r="W59" s="20">
        <f t="shared" ca="1" si="32"/>
        <v>0</v>
      </c>
      <c r="X59"/>
      <c r="Y59" s="276">
        <v>0</v>
      </c>
      <c r="Z59" s="20">
        <f t="shared" ca="1" si="33"/>
        <v>0</v>
      </c>
      <c r="AA59" s="20">
        <f ca="1">_Abono_Sobrante + IF(_Ciclicas = 1, 0, _Sobrante_Acumulado_x_Ciclo _Anterior)</f>
        <v>0</v>
      </c>
      <c r="AB59" s="20">
        <f ca="1">IF(AND(_Ciclicas=1, _Ciclo&gt;1),  _Sobrante_Acumulado_x_Ciclo _Anterior,0)</f>
        <v>0</v>
      </c>
      <c r="AD59" s="14">
        <f t="shared" ca="1" si="34"/>
        <v>0</v>
      </c>
      <c r="AE59" s="14">
        <f t="shared" ca="1" si="35"/>
        <v>4</v>
      </c>
      <c r="AF59" s="14">
        <f t="shared" ca="1" si="36"/>
        <v>9</v>
      </c>
      <c r="AG59" s="14">
        <f ca="1">MIN(_Ciclicas_Remanentes _Actual, _Remanentes _Actual)</f>
        <v>0</v>
      </c>
      <c r="AH59" s="32">
        <f t="shared" ca="1" si="37"/>
        <v>4</v>
      </c>
      <c r="AJ59" s="20">
        <f t="shared" ca="1" si="12"/>
        <v>0</v>
      </c>
      <c r="AK59" s="97">
        <f t="shared" ca="1" si="38"/>
        <v>0</v>
      </c>
      <c r="AM59" s="97">
        <f ca="1">MAX( _Saldo_Final_Original _Anterior + _Saldo_Ciclico, 0)</f>
        <v>0</v>
      </c>
      <c r="AN59" s="20">
        <f t="shared" ca="1" si="39"/>
        <v>0</v>
      </c>
      <c r="AO59" s="20">
        <f t="shared" ca="1" si="15"/>
        <v>0</v>
      </c>
      <c r="AP59" s="20">
        <f t="shared" ca="1" si="40"/>
        <v>0</v>
      </c>
      <c r="AQ59" s="20">
        <f t="shared" ca="1" si="41"/>
        <v>0</v>
      </c>
      <c r="AR59" s="335">
        <f ca="1">MAX( ((( _Pago_Fijo - (_Interes_Regular_Original * (1 + Iva.Intereses)) ))), _Stopper_Capital_Original _Actual )</f>
        <v>0</v>
      </c>
      <c r="AS59" s="97">
        <f ca="1">MAX(_Saldo_Inicial_Original _Actual - _Capital_Original _Actual, 0)</f>
        <v>0</v>
      </c>
      <c r="AT59"/>
      <c r="AU59" s="20">
        <f t="shared" ca="1" si="42"/>
        <v>0</v>
      </c>
      <c r="AV59" s="20">
        <f t="shared" ca="1" si="43"/>
        <v>0</v>
      </c>
      <c r="AW59" s="20">
        <f t="shared" ca="1" si="44"/>
        <v>0</v>
      </c>
      <c r="AX59" s="97">
        <f ca="1">IF( AND(_Abono_Anticipado _Anterior = 0, _Ciclicas &lt;&gt; 1 ), _Pago_Proyectado _Anterior, SUM(_Componentes_Pago_Proyectado _Actual))</f>
        <v>0</v>
      </c>
      <c r="AY59" s="335">
        <f t="shared" ca="1" si="21"/>
        <v>0</v>
      </c>
      <c r="AZ59" s="335">
        <f t="shared" ca="1" si="22"/>
        <v>0</v>
      </c>
      <c r="BB59" s="20">
        <f t="shared" ca="1" si="45"/>
        <v>0</v>
      </c>
      <c r="BC59" s="309">
        <f t="shared" si="46"/>
        <v>30</v>
      </c>
      <c r="BD59" s="20">
        <f t="shared" ca="1" si="47"/>
        <v>0</v>
      </c>
      <c r="BE59" s="97">
        <f t="shared" ca="1" si="48"/>
        <v>0</v>
      </c>
      <c r="BF59" s="14"/>
      <c r="BG59" s="14"/>
      <c r="BI59" s="44"/>
      <c r="BJ59" s="102"/>
      <c r="BK59" s="32"/>
      <c r="BL59" s="32"/>
      <c r="BR59" s="14"/>
      <c r="BS59" s="14"/>
      <c r="BT59" s="14"/>
      <c r="BU59" s="14"/>
      <c r="BV59" s="14"/>
      <c r="BY59" s="14"/>
      <c r="BZ59" s="14"/>
      <c r="CA59" s="14"/>
    </row>
    <row r="60" spans="2:79">
      <c r="B60" s="32"/>
      <c r="C60" s="32"/>
      <c r="J60" s="14">
        <v>41</v>
      </c>
      <c r="L60" s="97">
        <f ca="1">MAX( _Saldo_Final _Anterior + _Saldo_Ciclico,0)</f>
        <v>0</v>
      </c>
      <c r="M60" s="97">
        <f ca="1">MIN( CHOOSE(Opcion.Abono, _Capital_Opcion_1, _Capital_Opcion_2, _Capital_Opcion_3) _Actual, _Saldo_Inicial _Actual)</f>
        <v>0</v>
      </c>
      <c r="N60" s="97">
        <f t="shared" ca="1" si="27"/>
        <v>0</v>
      </c>
      <c r="O60" s="309">
        <f ca="1">MAX( _Capital_Elegida _Actual, _Stopper_Capital _Actual)</f>
        <v>0</v>
      </c>
      <c r="P60" s="118">
        <f t="shared" ca="1" si="28"/>
        <v>0</v>
      </c>
      <c r="Q60" s="118">
        <f t="shared" ca="1" si="2"/>
        <v>0</v>
      </c>
      <c r="R60" s="309">
        <f>Fechas!_Dias_Interes_Pago</f>
        <v>30</v>
      </c>
      <c r="S60" s="20">
        <f t="shared" ca="1" si="29"/>
        <v>0</v>
      </c>
      <c r="T60" s="20">
        <f t="shared" ca="1" si="30"/>
        <v>0</v>
      </c>
      <c r="U60" s="20">
        <f t="shared" ca="1" si="31"/>
        <v>0</v>
      </c>
      <c r="V60" s="310">
        <f ca="1">T_Merger!_Salida_Abono_2</f>
        <v>0</v>
      </c>
      <c r="W60" s="20">
        <f t="shared" ca="1" si="32"/>
        <v>0</v>
      </c>
      <c r="X60"/>
      <c r="Y60" s="276">
        <v>0</v>
      </c>
      <c r="Z60" s="20">
        <f t="shared" ca="1" si="33"/>
        <v>0</v>
      </c>
      <c r="AA60" s="20">
        <f ca="1">_Abono_Sobrante + IF(_Ciclicas = 1, 0, _Sobrante_Acumulado_x_Ciclo _Anterior)</f>
        <v>0</v>
      </c>
      <c r="AB60" s="20">
        <f ca="1">IF(AND(_Ciclicas=1, _Ciclo&gt;1),  _Sobrante_Acumulado_x_Ciclo _Anterior,0)</f>
        <v>0</v>
      </c>
      <c r="AD60" s="14">
        <f t="shared" ca="1" si="34"/>
        <v>0</v>
      </c>
      <c r="AE60" s="14">
        <f t="shared" ca="1" si="35"/>
        <v>5</v>
      </c>
      <c r="AF60" s="14">
        <f t="shared" ca="1" si="36"/>
        <v>8</v>
      </c>
      <c r="AG60" s="14">
        <f ca="1">MIN(_Ciclicas_Remanentes _Actual, _Remanentes _Actual)</f>
        <v>0</v>
      </c>
      <c r="AH60" s="32">
        <f t="shared" ca="1" si="37"/>
        <v>4</v>
      </c>
      <c r="AJ60" s="20">
        <f t="shared" ca="1" si="12"/>
        <v>0</v>
      </c>
      <c r="AK60" s="97">
        <f t="shared" ca="1" si="38"/>
        <v>0</v>
      </c>
      <c r="AM60" s="97">
        <f ca="1">MAX( _Saldo_Final_Original _Anterior + _Saldo_Ciclico, 0)</f>
        <v>0</v>
      </c>
      <c r="AN60" s="20">
        <f t="shared" ca="1" si="39"/>
        <v>0</v>
      </c>
      <c r="AO60" s="20">
        <f t="shared" ca="1" si="15"/>
        <v>0</v>
      </c>
      <c r="AP60" s="20">
        <f t="shared" ca="1" si="40"/>
        <v>0</v>
      </c>
      <c r="AQ60" s="20">
        <f t="shared" ca="1" si="41"/>
        <v>0</v>
      </c>
      <c r="AR60" s="335">
        <f ca="1">MAX( ((( _Pago_Fijo - (_Interes_Regular_Original * (1 + Iva.Intereses)) ))), _Stopper_Capital_Original _Actual )</f>
        <v>0</v>
      </c>
      <c r="AS60" s="97">
        <f ca="1">MAX(_Saldo_Inicial_Original _Actual - _Capital_Original _Actual, 0)</f>
        <v>0</v>
      </c>
      <c r="AT60"/>
      <c r="AU60" s="20">
        <f t="shared" ca="1" si="42"/>
        <v>0</v>
      </c>
      <c r="AV60" s="20">
        <f t="shared" ca="1" si="43"/>
        <v>0</v>
      </c>
      <c r="AW60" s="20">
        <f t="shared" ca="1" si="44"/>
        <v>0</v>
      </c>
      <c r="AX60" s="97">
        <f ca="1">IF( AND(_Abono_Anticipado _Anterior = 0, _Ciclicas &lt;&gt; 1 ), _Pago_Proyectado _Anterior, SUM(_Componentes_Pago_Proyectado _Actual))</f>
        <v>0</v>
      </c>
      <c r="AY60" s="335">
        <f t="shared" ca="1" si="21"/>
        <v>0</v>
      </c>
      <c r="AZ60" s="335">
        <f t="shared" ca="1" si="22"/>
        <v>0</v>
      </c>
      <c r="BB60" s="20">
        <f t="shared" ca="1" si="45"/>
        <v>0</v>
      </c>
      <c r="BC60" s="309">
        <f t="shared" si="46"/>
        <v>30</v>
      </c>
      <c r="BD60" s="20">
        <f t="shared" ca="1" si="47"/>
        <v>0</v>
      </c>
      <c r="BE60" s="97">
        <f t="shared" ca="1" si="48"/>
        <v>0</v>
      </c>
      <c r="BF60" s="14"/>
      <c r="BG60" s="14"/>
      <c r="BI60" s="44"/>
      <c r="BJ60" s="102"/>
      <c r="BK60" s="32"/>
      <c r="BL60" s="32"/>
      <c r="BR60" s="14"/>
      <c r="BS60" s="14"/>
      <c r="BT60" s="14"/>
      <c r="BU60" s="14"/>
      <c r="BV60" s="14"/>
      <c r="BY60" s="14"/>
      <c r="BZ60" s="14"/>
      <c r="CA60" s="14"/>
    </row>
    <row r="61" spans="2:79">
      <c r="B61" s="32"/>
      <c r="C61" s="32"/>
      <c r="J61" s="14">
        <v>42</v>
      </c>
      <c r="L61" s="97">
        <f ca="1">MAX( _Saldo_Final _Anterior + _Saldo_Ciclico,0)</f>
        <v>0</v>
      </c>
      <c r="M61" s="97">
        <f ca="1">MIN( CHOOSE(Opcion.Abono, _Capital_Opcion_1, _Capital_Opcion_2, _Capital_Opcion_3) _Actual, _Saldo_Inicial _Actual)</f>
        <v>0</v>
      </c>
      <c r="N61" s="97">
        <f t="shared" ca="1" si="27"/>
        <v>0</v>
      </c>
      <c r="O61" s="309">
        <f ca="1">MAX( _Capital_Elegida _Actual, _Stopper_Capital _Actual)</f>
        <v>0</v>
      </c>
      <c r="P61" s="118">
        <f t="shared" ca="1" si="28"/>
        <v>0</v>
      </c>
      <c r="Q61" s="118">
        <f t="shared" ca="1" si="2"/>
        <v>0</v>
      </c>
      <c r="R61" s="309">
        <f>Fechas!_Dias_Interes_Pago</f>
        <v>30</v>
      </c>
      <c r="S61" s="20">
        <f t="shared" ca="1" si="29"/>
        <v>0</v>
      </c>
      <c r="T61" s="20">
        <f t="shared" ca="1" si="30"/>
        <v>0</v>
      </c>
      <c r="U61" s="20">
        <f t="shared" ca="1" si="31"/>
        <v>0</v>
      </c>
      <c r="V61" s="310">
        <f ca="1">T_Merger!_Salida_Abono_2</f>
        <v>0</v>
      </c>
      <c r="W61" s="20">
        <f t="shared" ca="1" si="32"/>
        <v>0</v>
      </c>
      <c r="X61"/>
      <c r="Y61" s="276">
        <v>0</v>
      </c>
      <c r="Z61" s="20">
        <f t="shared" ca="1" si="33"/>
        <v>0</v>
      </c>
      <c r="AA61" s="20">
        <f ca="1">_Abono_Sobrante + IF(_Ciclicas = 1, 0, _Sobrante_Acumulado_x_Ciclo _Anterior)</f>
        <v>0</v>
      </c>
      <c r="AB61" s="20">
        <f ca="1">IF(AND(_Ciclicas=1, _Ciclo&gt;1),  _Sobrante_Acumulado_x_Ciclo _Anterior,0)</f>
        <v>0</v>
      </c>
      <c r="AD61" s="14">
        <f t="shared" ca="1" si="34"/>
        <v>0</v>
      </c>
      <c r="AE61" s="14">
        <f t="shared" ca="1" si="35"/>
        <v>6</v>
      </c>
      <c r="AF61" s="14">
        <f t="shared" ca="1" si="36"/>
        <v>7</v>
      </c>
      <c r="AG61" s="14">
        <f ca="1">MIN(_Ciclicas_Remanentes _Actual, _Remanentes _Actual)</f>
        <v>0</v>
      </c>
      <c r="AH61" s="32">
        <f t="shared" ca="1" si="37"/>
        <v>4</v>
      </c>
      <c r="AJ61" s="20">
        <f t="shared" ca="1" si="12"/>
        <v>0</v>
      </c>
      <c r="AK61" s="97">
        <f t="shared" ca="1" si="38"/>
        <v>0</v>
      </c>
      <c r="AM61" s="97">
        <f ca="1">MAX( _Saldo_Final_Original _Anterior + _Saldo_Ciclico, 0)</f>
        <v>0</v>
      </c>
      <c r="AN61" s="20">
        <f t="shared" ca="1" si="39"/>
        <v>0</v>
      </c>
      <c r="AO61" s="20">
        <f t="shared" ca="1" si="15"/>
        <v>0</v>
      </c>
      <c r="AP61" s="20">
        <f t="shared" ca="1" si="40"/>
        <v>0</v>
      </c>
      <c r="AQ61" s="20">
        <f t="shared" ca="1" si="41"/>
        <v>0</v>
      </c>
      <c r="AR61" s="335">
        <f ca="1">MAX( ((( _Pago_Fijo - (_Interes_Regular_Original * (1 + Iva.Intereses)) ))), _Stopper_Capital_Original _Actual )</f>
        <v>0</v>
      </c>
      <c r="AS61" s="97">
        <f ca="1">MAX(_Saldo_Inicial_Original _Actual - _Capital_Original _Actual, 0)</f>
        <v>0</v>
      </c>
      <c r="AT61"/>
      <c r="AU61" s="20">
        <f t="shared" ca="1" si="42"/>
        <v>0</v>
      </c>
      <c r="AV61" s="20">
        <f t="shared" ca="1" si="43"/>
        <v>0</v>
      </c>
      <c r="AW61" s="20">
        <f t="shared" ca="1" si="44"/>
        <v>0</v>
      </c>
      <c r="AX61" s="97">
        <f ca="1">IF( AND(_Abono_Anticipado _Anterior = 0, _Ciclicas &lt;&gt; 1 ), _Pago_Proyectado _Anterior, SUM(_Componentes_Pago_Proyectado _Actual))</f>
        <v>0</v>
      </c>
      <c r="AY61" s="335">
        <f t="shared" ca="1" si="21"/>
        <v>0</v>
      </c>
      <c r="AZ61" s="335">
        <f t="shared" ca="1" si="22"/>
        <v>0</v>
      </c>
      <c r="BB61" s="20">
        <f t="shared" ca="1" si="45"/>
        <v>0</v>
      </c>
      <c r="BC61" s="309">
        <f t="shared" si="46"/>
        <v>30</v>
      </c>
      <c r="BD61" s="20">
        <f t="shared" ca="1" si="47"/>
        <v>0</v>
      </c>
      <c r="BE61" s="97">
        <f t="shared" ca="1" si="48"/>
        <v>0</v>
      </c>
      <c r="BF61" s="14"/>
      <c r="BG61" s="14"/>
      <c r="BI61" s="44"/>
      <c r="BJ61" s="102"/>
      <c r="BK61" s="32"/>
      <c r="BL61" s="32"/>
      <c r="BR61" s="14"/>
      <c r="BS61" s="14"/>
      <c r="BT61" s="14"/>
      <c r="BU61" s="14"/>
      <c r="BV61" s="14"/>
      <c r="BY61" s="14"/>
      <c r="BZ61" s="14"/>
      <c r="CA61" s="14"/>
    </row>
    <row r="62" spans="2:79">
      <c r="B62" s="32"/>
      <c r="C62" s="32"/>
      <c r="J62" s="14">
        <v>43</v>
      </c>
      <c r="L62" s="97">
        <f ca="1">MAX( _Saldo_Final _Anterior + _Saldo_Ciclico,0)</f>
        <v>0</v>
      </c>
      <c r="M62" s="97">
        <f ca="1">MIN( CHOOSE(Opcion.Abono, _Capital_Opcion_1, _Capital_Opcion_2, _Capital_Opcion_3) _Actual, _Saldo_Inicial _Actual)</f>
        <v>0</v>
      </c>
      <c r="N62" s="97">
        <f t="shared" ca="1" si="27"/>
        <v>0</v>
      </c>
      <c r="O62" s="309">
        <f ca="1">MAX( _Capital_Elegida _Actual, _Stopper_Capital _Actual)</f>
        <v>0</v>
      </c>
      <c r="P62" s="118">
        <f t="shared" ca="1" si="28"/>
        <v>0</v>
      </c>
      <c r="Q62" s="118">
        <f t="shared" ca="1" si="2"/>
        <v>0</v>
      </c>
      <c r="R62" s="309">
        <f>Fechas!_Dias_Interes_Pago</f>
        <v>30</v>
      </c>
      <c r="S62" s="20">
        <f t="shared" ca="1" si="29"/>
        <v>0</v>
      </c>
      <c r="T62" s="20">
        <f t="shared" ca="1" si="30"/>
        <v>0</v>
      </c>
      <c r="U62" s="20">
        <f t="shared" ca="1" si="31"/>
        <v>0</v>
      </c>
      <c r="V62" s="310">
        <f ca="1">T_Merger!_Salida_Abono_2</f>
        <v>0</v>
      </c>
      <c r="W62" s="20">
        <f t="shared" ca="1" si="32"/>
        <v>0</v>
      </c>
      <c r="X62"/>
      <c r="Y62" s="276">
        <v>0</v>
      </c>
      <c r="Z62" s="20">
        <f t="shared" ca="1" si="33"/>
        <v>0</v>
      </c>
      <c r="AA62" s="20">
        <f ca="1">_Abono_Sobrante + IF(_Ciclicas = 1, 0, _Sobrante_Acumulado_x_Ciclo _Anterior)</f>
        <v>0</v>
      </c>
      <c r="AB62" s="20">
        <f ca="1">IF(AND(_Ciclicas=1, _Ciclo&gt;1),  _Sobrante_Acumulado_x_Ciclo _Anterior,0)</f>
        <v>0</v>
      </c>
      <c r="AD62" s="14">
        <f t="shared" ca="1" si="34"/>
        <v>0</v>
      </c>
      <c r="AE62" s="14">
        <f t="shared" ca="1" si="35"/>
        <v>7</v>
      </c>
      <c r="AF62" s="14">
        <f t="shared" ca="1" si="36"/>
        <v>6</v>
      </c>
      <c r="AG62" s="14">
        <f ca="1">MIN(_Ciclicas_Remanentes _Actual, _Remanentes _Actual)</f>
        <v>0</v>
      </c>
      <c r="AH62" s="32">
        <f t="shared" ca="1" si="37"/>
        <v>4</v>
      </c>
      <c r="AJ62" s="20">
        <f t="shared" ca="1" si="12"/>
        <v>0</v>
      </c>
      <c r="AK62" s="97">
        <f t="shared" ca="1" si="38"/>
        <v>0</v>
      </c>
      <c r="AM62" s="97">
        <f ca="1">MAX( _Saldo_Final_Original _Anterior + _Saldo_Ciclico, 0)</f>
        <v>0</v>
      </c>
      <c r="AN62" s="20">
        <f t="shared" ca="1" si="39"/>
        <v>0</v>
      </c>
      <c r="AO62" s="20">
        <f t="shared" ca="1" si="15"/>
        <v>0</v>
      </c>
      <c r="AP62" s="20">
        <f t="shared" ca="1" si="40"/>
        <v>0</v>
      </c>
      <c r="AQ62" s="20">
        <f t="shared" ca="1" si="41"/>
        <v>0</v>
      </c>
      <c r="AR62" s="335">
        <f ca="1">MAX( ((( _Pago_Fijo - (_Interes_Regular_Original * (1 + Iva.Intereses)) ))), _Stopper_Capital_Original _Actual )</f>
        <v>0</v>
      </c>
      <c r="AS62" s="97">
        <f ca="1">MAX(_Saldo_Inicial_Original _Actual - _Capital_Original _Actual, 0)</f>
        <v>0</v>
      </c>
      <c r="AT62"/>
      <c r="AU62" s="20">
        <f t="shared" ca="1" si="42"/>
        <v>0</v>
      </c>
      <c r="AV62" s="20">
        <f t="shared" ca="1" si="43"/>
        <v>0</v>
      </c>
      <c r="AW62" s="20">
        <f t="shared" ca="1" si="44"/>
        <v>0</v>
      </c>
      <c r="AX62" s="97">
        <f ca="1">IF( AND(_Abono_Anticipado _Anterior = 0, _Ciclicas &lt;&gt; 1 ), _Pago_Proyectado _Anterior, SUM(_Componentes_Pago_Proyectado _Actual))</f>
        <v>0</v>
      </c>
      <c r="AY62" s="335">
        <f t="shared" ca="1" si="21"/>
        <v>0</v>
      </c>
      <c r="AZ62" s="335">
        <f t="shared" ca="1" si="22"/>
        <v>0</v>
      </c>
      <c r="BB62" s="20">
        <f t="shared" ca="1" si="45"/>
        <v>0</v>
      </c>
      <c r="BC62" s="309">
        <f t="shared" si="46"/>
        <v>30</v>
      </c>
      <c r="BD62" s="20">
        <f t="shared" ca="1" si="47"/>
        <v>0</v>
      </c>
      <c r="BE62" s="97">
        <f t="shared" ca="1" si="48"/>
        <v>0</v>
      </c>
      <c r="BF62" s="14"/>
      <c r="BG62" s="14"/>
      <c r="BI62" s="44"/>
      <c r="BJ62" s="102"/>
      <c r="BK62" s="32"/>
      <c r="BL62" s="32"/>
      <c r="BR62" s="14"/>
      <c r="BS62" s="14"/>
      <c r="BT62" s="14"/>
      <c r="BU62" s="14"/>
      <c r="BV62" s="14"/>
      <c r="BY62" s="14"/>
      <c r="BZ62" s="14"/>
      <c r="CA62" s="14"/>
    </row>
    <row r="63" spans="2:79">
      <c r="B63" s="32"/>
      <c r="C63" s="32"/>
      <c r="J63" s="14">
        <v>44</v>
      </c>
      <c r="L63" s="97">
        <f ca="1">MAX( _Saldo_Final _Anterior + _Saldo_Ciclico,0)</f>
        <v>0</v>
      </c>
      <c r="M63" s="97">
        <f ca="1">MIN( CHOOSE(Opcion.Abono, _Capital_Opcion_1, _Capital_Opcion_2, _Capital_Opcion_3) _Actual, _Saldo_Inicial _Actual)</f>
        <v>0</v>
      </c>
      <c r="N63" s="97">
        <f t="shared" ca="1" si="27"/>
        <v>0</v>
      </c>
      <c r="O63" s="309">
        <f ca="1">MAX( _Capital_Elegida _Actual, _Stopper_Capital _Actual)</f>
        <v>0</v>
      </c>
      <c r="P63" s="118">
        <f t="shared" ca="1" si="28"/>
        <v>0</v>
      </c>
      <c r="Q63" s="118">
        <f t="shared" ca="1" si="2"/>
        <v>0</v>
      </c>
      <c r="R63" s="309">
        <f>Fechas!_Dias_Interes_Pago</f>
        <v>30</v>
      </c>
      <c r="S63" s="20">
        <f t="shared" ca="1" si="29"/>
        <v>0</v>
      </c>
      <c r="T63" s="20">
        <f t="shared" ca="1" si="30"/>
        <v>0</v>
      </c>
      <c r="U63" s="20">
        <f t="shared" ca="1" si="31"/>
        <v>0</v>
      </c>
      <c r="V63" s="310">
        <f ca="1">T_Merger!_Salida_Abono_2</f>
        <v>0</v>
      </c>
      <c r="W63" s="20">
        <f t="shared" ca="1" si="32"/>
        <v>0</v>
      </c>
      <c r="X63"/>
      <c r="Y63" s="276">
        <v>0</v>
      </c>
      <c r="Z63" s="20">
        <f t="shared" ca="1" si="33"/>
        <v>0</v>
      </c>
      <c r="AA63" s="20">
        <f ca="1">_Abono_Sobrante + IF(_Ciclicas = 1, 0, _Sobrante_Acumulado_x_Ciclo _Anterior)</f>
        <v>0</v>
      </c>
      <c r="AB63" s="20">
        <f ca="1">IF(AND(_Ciclicas=1, _Ciclo&gt;1),  _Sobrante_Acumulado_x_Ciclo _Anterior,0)</f>
        <v>0</v>
      </c>
      <c r="AD63" s="14">
        <f t="shared" ca="1" si="34"/>
        <v>0</v>
      </c>
      <c r="AE63" s="14">
        <f t="shared" ca="1" si="35"/>
        <v>8</v>
      </c>
      <c r="AF63" s="14">
        <f t="shared" ca="1" si="36"/>
        <v>5</v>
      </c>
      <c r="AG63" s="14">
        <f ca="1">MIN(_Ciclicas_Remanentes _Actual, _Remanentes _Actual)</f>
        <v>0</v>
      </c>
      <c r="AH63" s="32">
        <f t="shared" ca="1" si="37"/>
        <v>4</v>
      </c>
      <c r="AJ63" s="20">
        <f t="shared" ca="1" si="12"/>
        <v>0</v>
      </c>
      <c r="AK63" s="97">
        <f t="shared" ca="1" si="38"/>
        <v>0</v>
      </c>
      <c r="AM63" s="97">
        <f ca="1">MAX( _Saldo_Final_Original _Anterior + _Saldo_Ciclico, 0)</f>
        <v>0</v>
      </c>
      <c r="AN63" s="20">
        <f t="shared" ca="1" si="39"/>
        <v>0</v>
      </c>
      <c r="AO63" s="20">
        <f t="shared" ca="1" si="15"/>
        <v>0</v>
      </c>
      <c r="AP63" s="20">
        <f t="shared" ca="1" si="40"/>
        <v>0</v>
      </c>
      <c r="AQ63" s="20">
        <f t="shared" ca="1" si="41"/>
        <v>0</v>
      </c>
      <c r="AR63" s="335">
        <f ca="1">MAX( ((( _Pago_Fijo - (_Interes_Regular_Original * (1 + Iva.Intereses)) ))), _Stopper_Capital_Original _Actual )</f>
        <v>0</v>
      </c>
      <c r="AS63" s="97">
        <f ca="1">MAX(_Saldo_Inicial_Original _Actual - _Capital_Original _Actual, 0)</f>
        <v>0</v>
      </c>
      <c r="AT63"/>
      <c r="AU63" s="20">
        <f t="shared" ca="1" si="42"/>
        <v>0</v>
      </c>
      <c r="AV63" s="20">
        <f t="shared" ca="1" si="43"/>
        <v>0</v>
      </c>
      <c r="AW63" s="20">
        <f t="shared" ca="1" si="44"/>
        <v>0</v>
      </c>
      <c r="AX63" s="97">
        <f ca="1">IF( AND(_Abono_Anticipado _Anterior = 0, _Ciclicas &lt;&gt; 1 ), _Pago_Proyectado _Anterior, SUM(_Componentes_Pago_Proyectado _Actual))</f>
        <v>0</v>
      </c>
      <c r="AY63" s="335">
        <f t="shared" ca="1" si="21"/>
        <v>0</v>
      </c>
      <c r="AZ63" s="335">
        <f t="shared" ca="1" si="22"/>
        <v>0</v>
      </c>
      <c r="BB63" s="20">
        <f t="shared" ca="1" si="45"/>
        <v>0</v>
      </c>
      <c r="BC63" s="309">
        <f t="shared" si="46"/>
        <v>30</v>
      </c>
      <c r="BD63" s="20">
        <f t="shared" ca="1" si="47"/>
        <v>0</v>
      </c>
      <c r="BE63" s="97">
        <f t="shared" ca="1" si="48"/>
        <v>0</v>
      </c>
      <c r="BF63" s="14"/>
      <c r="BG63" s="14"/>
      <c r="BI63" s="44"/>
      <c r="BJ63" s="102"/>
      <c r="BK63" s="32"/>
      <c r="BL63" s="32"/>
      <c r="BR63" s="14"/>
      <c r="BS63" s="14"/>
      <c r="BT63" s="14"/>
      <c r="BU63" s="14"/>
      <c r="BV63" s="14"/>
      <c r="BY63" s="14"/>
      <c r="BZ63" s="14"/>
      <c r="CA63" s="14"/>
    </row>
    <row r="64" spans="2:79">
      <c r="B64" s="32"/>
      <c r="C64" s="32"/>
      <c r="J64" s="14">
        <v>45</v>
      </c>
      <c r="L64" s="97">
        <f ca="1">MAX( _Saldo_Final _Anterior + _Saldo_Ciclico,0)</f>
        <v>0</v>
      </c>
      <c r="M64" s="97">
        <f ca="1">MIN( CHOOSE(Opcion.Abono, _Capital_Opcion_1, _Capital_Opcion_2, _Capital_Opcion_3) _Actual, _Saldo_Inicial _Actual)</f>
        <v>0</v>
      </c>
      <c r="N64" s="97">
        <f t="shared" ca="1" si="27"/>
        <v>0</v>
      </c>
      <c r="O64" s="309">
        <f ca="1">MAX( _Capital_Elegida _Actual, _Stopper_Capital _Actual)</f>
        <v>0</v>
      </c>
      <c r="P64" s="118">
        <f t="shared" ca="1" si="28"/>
        <v>0</v>
      </c>
      <c r="Q64" s="118">
        <f t="shared" ca="1" si="2"/>
        <v>0</v>
      </c>
      <c r="R64" s="309">
        <f>Fechas!_Dias_Interes_Pago</f>
        <v>30</v>
      </c>
      <c r="S64" s="20">
        <f t="shared" ca="1" si="29"/>
        <v>0</v>
      </c>
      <c r="T64" s="20">
        <f t="shared" ca="1" si="30"/>
        <v>0</v>
      </c>
      <c r="U64" s="20">
        <f t="shared" ca="1" si="31"/>
        <v>0</v>
      </c>
      <c r="V64" s="310">
        <f ca="1">T_Merger!_Salida_Abono_2</f>
        <v>0</v>
      </c>
      <c r="W64" s="20">
        <f t="shared" ca="1" si="32"/>
        <v>0</v>
      </c>
      <c r="X64"/>
      <c r="Y64" s="276">
        <v>0</v>
      </c>
      <c r="Z64" s="20">
        <f t="shared" ca="1" si="33"/>
        <v>0</v>
      </c>
      <c r="AA64" s="20">
        <f ca="1">_Abono_Sobrante + IF(_Ciclicas = 1, 0, _Sobrante_Acumulado_x_Ciclo _Anterior)</f>
        <v>0</v>
      </c>
      <c r="AB64" s="20">
        <f ca="1">IF(AND(_Ciclicas=1, _Ciclo&gt;1),  _Sobrante_Acumulado_x_Ciclo _Anterior,0)</f>
        <v>0</v>
      </c>
      <c r="AD64" s="14">
        <f t="shared" ca="1" si="34"/>
        <v>0</v>
      </c>
      <c r="AE64" s="14">
        <f t="shared" ca="1" si="35"/>
        <v>9</v>
      </c>
      <c r="AF64" s="14">
        <f t="shared" ca="1" si="36"/>
        <v>4</v>
      </c>
      <c r="AG64" s="14">
        <f ca="1">MIN(_Ciclicas_Remanentes _Actual, _Remanentes _Actual)</f>
        <v>0</v>
      </c>
      <c r="AH64" s="32">
        <f t="shared" ca="1" si="37"/>
        <v>4</v>
      </c>
      <c r="AJ64" s="20">
        <f t="shared" ca="1" si="12"/>
        <v>0</v>
      </c>
      <c r="AK64" s="97">
        <f t="shared" ca="1" si="38"/>
        <v>0</v>
      </c>
      <c r="AM64" s="97">
        <f ca="1">MAX( _Saldo_Final_Original _Anterior + _Saldo_Ciclico, 0)</f>
        <v>0</v>
      </c>
      <c r="AN64" s="20">
        <f t="shared" ca="1" si="39"/>
        <v>0</v>
      </c>
      <c r="AO64" s="20">
        <f t="shared" ca="1" si="15"/>
        <v>0</v>
      </c>
      <c r="AP64" s="20">
        <f t="shared" ca="1" si="40"/>
        <v>0</v>
      </c>
      <c r="AQ64" s="20">
        <f t="shared" ca="1" si="41"/>
        <v>0</v>
      </c>
      <c r="AR64" s="335">
        <f ca="1">MAX( ((( _Pago_Fijo - (_Interes_Regular_Original * (1 + Iva.Intereses)) ))), _Stopper_Capital_Original _Actual )</f>
        <v>0</v>
      </c>
      <c r="AS64" s="97">
        <f ca="1">MAX(_Saldo_Inicial_Original _Actual - _Capital_Original _Actual, 0)</f>
        <v>0</v>
      </c>
      <c r="AT64"/>
      <c r="AU64" s="20">
        <f t="shared" ca="1" si="42"/>
        <v>0</v>
      </c>
      <c r="AV64" s="20">
        <f t="shared" ca="1" si="43"/>
        <v>0</v>
      </c>
      <c r="AW64" s="20">
        <f t="shared" ca="1" si="44"/>
        <v>0</v>
      </c>
      <c r="AX64" s="97">
        <f ca="1">IF( AND(_Abono_Anticipado _Anterior = 0, _Ciclicas &lt;&gt; 1 ), _Pago_Proyectado _Anterior, SUM(_Componentes_Pago_Proyectado _Actual))</f>
        <v>0</v>
      </c>
      <c r="AY64" s="335">
        <f t="shared" ca="1" si="21"/>
        <v>0</v>
      </c>
      <c r="AZ64" s="335">
        <f t="shared" ca="1" si="22"/>
        <v>0</v>
      </c>
      <c r="BB64" s="20">
        <f t="shared" ca="1" si="45"/>
        <v>0</v>
      </c>
      <c r="BC64" s="309">
        <f t="shared" si="46"/>
        <v>30</v>
      </c>
      <c r="BD64" s="20">
        <f t="shared" ca="1" si="47"/>
        <v>0</v>
      </c>
      <c r="BE64" s="97">
        <f t="shared" ca="1" si="48"/>
        <v>0</v>
      </c>
      <c r="BF64" s="14"/>
      <c r="BG64" s="14"/>
      <c r="BI64" s="44"/>
      <c r="BJ64" s="102"/>
      <c r="BK64" s="32"/>
      <c r="BL64" s="32"/>
      <c r="BR64" s="14"/>
      <c r="BS64" s="14"/>
      <c r="BT64" s="14"/>
      <c r="BU64" s="14"/>
      <c r="BV64" s="14"/>
      <c r="BY64" s="14"/>
      <c r="BZ64" s="14"/>
      <c r="CA64" s="14"/>
    </row>
    <row r="65" spans="2:79">
      <c r="B65" s="32"/>
      <c r="C65" s="32"/>
      <c r="J65" s="14">
        <v>46</v>
      </c>
      <c r="L65" s="97">
        <f ca="1">MAX( _Saldo_Final _Anterior + _Saldo_Ciclico,0)</f>
        <v>0</v>
      </c>
      <c r="M65" s="97">
        <f ca="1">MIN( CHOOSE(Opcion.Abono, _Capital_Opcion_1, _Capital_Opcion_2, _Capital_Opcion_3) _Actual, _Saldo_Inicial _Actual)</f>
        <v>0</v>
      </c>
      <c r="N65" s="97">
        <f t="shared" ca="1" si="27"/>
        <v>0</v>
      </c>
      <c r="O65" s="309">
        <f ca="1">MAX( _Capital_Elegida _Actual, _Stopper_Capital _Actual)</f>
        <v>0</v>
      </c>
      <c r="P65" s="118">
        <f t="shared" ca="1" si="28"/>
        <v>0</v>
      </c>
      <c r="Q65" s="118">
        <f t="shared" ca="1" si="2"/>
        <v>0</v>
      </c>
      <c r="R65" s="309">
        <f>Fechas!_Dias_Interes_Pago</f>
        <v>30</v>
      </c>
      <c r="S65" s="20">
        <f t="shared" ca="1" si="29"/>
        <v>0</v>
      </c>
      <c r="T65" s="20">
        <f t="shared" ca="1" si="30"/>
        <v>0</v>
      </c>
      <c r="U65" s="20">
        <f t="shared" ca="1" si="31"/>
        <v>0</v>
      </c>
      <c r="V65" s="310">
        <f ca="1">T_Merger!_Salida_Abono_2</f>
        <v>0</v>
      </c>
      <c r="W65" s="20">
        <f t="shared" ca="1" si="32"/>
        <v>0</v>
      </c>
      <c r="X65"/>
      <c r="Y65" s="276">
        <v>0</v>
      </c>
      <c r="Z65" s="20">
        <f t="shared" ca="1" si="33"/>
        <v>0</v>
      </c>
      <c r="AA65" s="20">
        <f ca="1">_Abono_Sobrante + IF(_Ciclicas = 1, 0, _Sobrante_Acumulado_x_Ciclo _Anterior)</f>
        <v>0</v>
      </c>
      <c r="AB65" s="20">
        <f ca="1">IF(AND(_Ciclicas=1, _Ciclo&gt;1),  _Sobrante_Acumulado_x_Ciclo _Anterior,0)</f>
        <v>0</v>
      </c>
      <c r="AD65" s="14">
        <f t="shared" ca="1" si="34"/>
        <v>0</v>
      </c>
      <c r="AE65" s="14">
        <f t="shared" ca="1" si="35"/>
        <v>10</v>
      </c>
      <c r="AF65" s="14">
        <f t="shared" ca="1" si="36"/>
        <v>3</v>
      </c>
      <c r="AG65" s="14">
        <f ca="1">MIN(_Ciclicas_Remanentes _Actual, _Remanentes _Actual)</f>
        <v>0</v>
      </c>
      <c r="AH65" s="32">
        <f t="shared" ca="1" si="37"/>
        <v>4</v>
      </c>
      <c r="AJ65" s="20">
        <f t="shared" ca="1" si="12"/>
        <v>0</v>
      </c>
      <c r="AK65" s="97">
        <f t="shared" ca="1" si="38"/>
        <v>0</v>
      </c>
      <c r="AM65" s="97">
        <f ca="1">MAX( _Saldo_Final_Original _Anterior + _Saldo_Ciclico, 0)</f>
        <v>0</v>
      </c>
      <c r="AN65" s="20">
        <f t="shared" ca="1" si="39"/>
        <v>0</v>
      </c>
      <c r="AO65" s="20">
        <f t="shared" ca="1" si="15"/>
        <v>0</v>
      </c>
      <c r="AP65" s="20">
        <f t="shared" ca="1" si="40"/>
        <v>0</v>
      </c>
      <c r="AQ65" s="20">
        <f t="shared" ca="1" si="41"/>
        <v>0</v>
      </c>
      <c r="AR65" s="335">
        <f ca="1">MAX( ((( _Pago_Fijo - (_Interes_Regular_Original * (1 + Iva.Intereses)) ))), _Stopper_Capital_Original _Actual )</f>
        <v>0</v>
      </c>
      <c r="AS65" s="97">
        <f ca="1">MAX(_Saldo_Inicial_Original _Actual - _Capital_Original _Actual, 0)</f>
        <v>0</v>
      </c>
      <c r="AT65"/>
      <c r="AU65" s="20">
        <f t="shared" ca="1" si="42"/>
        <v>0</v>
      </c>
      <c r="AV65" s="20">
        <f t="shared" ca="1" si="43"/>
        <v>0</v>
      </c>
      <c r="AW65" s="20">
        <f t="shared" ca="1" si="44"/>
        <v>0</v>
      </c>
      <c r="AX65" s="97">
        <f ca="1">IF( AND(_Abono_Anticipado _Anterior = 0, _Ciclicas &lt;&gt; 1 ), _Pago_Proyectado _Anterior, SUM(_Componentes_Pago_Proyectado _Actual))</f>
        <v>0</v>
      </c>
      <c r="AY65" s="335">
        <f t="shared" ca="1" si="21"/>
        <v>0</v>
      </c>
      <c r="AZ65" s="335">
        <f t="shared" ca="1" si="22"/>
        <v>0</v>
      </c>
      <c r="BB65" s="20">
        <f t="shared" ca="1" si="45"/>
        <v>0</v>
      </c>
      <c r="BC65" s="309">
        <f t="shared" si="46"/>
        <v>30</v>
      </c>
      <c r="BD65" s="20">
        <f t="shared" ca="1" si="47"/>
        <v>0</v>
      </c>
      <c r="BE65" s="97">
        <f t="shared" ca="1" si="48"/>
        <v>0</v>
      </c>
      <c r="BF65" s="14"/>
      <c r="BG65" s="14"/>
      <c r="BI65" s="44"/>
      <c r="BJ65" s="102"/>
      <c r="BK65" s="32"/>
      <c r="BL65" s="32"/>
      <c r="BR65" s="14"/>
      <c r="BS65" s="14"/>
      <c r="BT65" s="14"/>
      <c r="BU65" s="14"/>
      <c r="BV65" s="14"/>
      <c r="BY65" s="14"/>
      <c r="BZ65" s="14"/>
      <c r="CA65" s="14"/>
    </row>
    <row r="66" spans="2:79">
      <c r="B66" s="32"/>
      <c r="C66" s="32"/>
      <c r="J66" s="14">
        <v>47</v>
      </c>
      <c r="L66" s="97">
        <f ca="1">MAX( _Saldo_Final _Anterior + _Saldo_Ciclico,0)</f>
        <v>0</v>
      </c>
      <c r="M66" s="97">
        <f ca="1">MIN( CHOOSE(Opcion.Abono, _Capital_Opcion_1, _Capital_Opcion_2, _Capital_Opcion_3) _Actual, _Saldo_Inicial _Actual)</f>
        <v>0</v>
      </c>
      <c r="N66" s="97">
        <f t="shared" ca="1" si="27"/>
        <v>0</v>
      </c>
      <c r="O66" s="309">
        <f ca="1">MAX( _Capital_Elegida _Actual, _Stopper_Capital _Actual)</f>
        <v>0</v>
      </c>
      <c r="P66" s="118">
        <f t="shared" ca="1" si="28"/>
        <v>0</v>
      </c>
      <c r="Q66" s="118">
        <f t="shared" ca="1" si="2"/>
        <v>0</v>
      </c>
      <c r="R66" s="309">
        <f>Fechas!_Dias_Interes_Pago</f>
        <v>30</v>
      </c>
      <c r="S66" s="20">
        <f t="shared" ca="1" si="29"/>
        <v>0</v>
      </c>
      <c r="T66" s="20">
        <f t="shared" ca="1" si="30"/>
        <v>0</v>
      </c>
      <c r="U66" s="20">
        <f t="shared" ca="1" si="31"/>
        <v>0</v>
      </c>
      <c r="V66" s="310">
        <f ca="1">T_Merger!_Salida_Abono_2</f>
        <v>0</v>
      </c>
      <c r="W66" s="20">
        <f t="shared" ca="1" si="32"/>
        <v>0</v>
      </c>
      <c r="X66"/>
      <c r="Y66" s="276">
        <v>0</v>
      </c>
      <c r="Z66" s="20">
        <f t="shared" ca="1" si="33"/>
        <v>0</v>
      </c>
      <c r="AA66" s="20">
        <f ca="1">_Abono_Sobrante + IF(_Ciclicas = 1, 0, _Sobrante_Acumulado_x_Ciclo _Anterior)</f>
        <v>0</v>
      </c>
      <c r="AB66" s="20">
        <f ca="1">IF(AND(_Ciclicas=1, _Ciclo&gt;1),  _Sobrante_Acumulado_x_Ciclo _Anterior,0)</f>
        <v>0</v>
      </c>
      <c r="AD66" s="14">
        <f t="shared" ca="1" si="34"/>
        <v>0</v>
      </c>
      <c r="AE66" s="14">
        <f t="shared" ca="1" si="35"/>
        <v>11</v>
      </c>
      <c r="AF66" s="14">
        <f t="shared" ca="1" si="36"/>
        <v>2</v>
      </c>
      <c r="AG66" s="14">
        <f ca="1">MIN(_Ciclicas_Remanentes _Actual, _Remanentes _Actual)</f>
        <v>0</v>
      </c>
      <c r="AH66" s="32">
        <f t="shared" ca="1" si="37"/>
        <v>4</v>
      </c>
      <c r="AJ66" s="20">
        <f t="shared" ca="1" si="12"/>
        <v>0</v>
      </c>
      <c r="AK66" s="97">
        <f t="shared" ca="1" si="38"/>
        <v>0</v>
      </c>
      <c r="AM66" s="97">
        <f ca="1">MAX( _Saldo_Final_Original _Anterior + _Saldo_Ciclico, 0)</f>
        <v>0</v>
      </c>
      <c r="AN66" s="20">
        <f t="shared" ca="1" si="39"/>
        <v>0</v>
      </c>
      <c r="AO66" s="20">
        <f t="shared" ca="1" si="15"/>
        <v>0</v>
      </c>
      <c r="AP66" s="20">
        <f t="shared" ca="1" si="40"/>
        <v>0</v>
      </c>
      <c r="AQ66" s="20">
        <f t="shared" ca="1" si="41"/>
        <v>0</v>
      </c>
      <c r="AR66" s="335">
        <f ca="1">MAX( ((( _Pago_Fijo - (_Interes_Regular_Original * (1 + Iva.Intereses)) ))), _Stopper_Capital_Original _Actual )</f>
        <v>0</v>
      </c>
      <c r="AS66" s="97">
        <f ca="1">MAX(_Saldo_Inicial_Original _Actual - _Capital_Original _Actual, 0)</f>
        <v>0</v>
      </c>
      <c r="AT66"/>
      <c r="AU66" s="20">
        <f t="shared" ca="1" si="42"/>
        <v>0</v>
      </c>
      <c r="AV66" s="20">
        <f t="shared" ca="1" si="43"/>
        <v>0</v>
      </c>
      <c r="AW66" s="20">
        <f t="shared" ca="1" si="44"/>
        <v>0</v>
      </c>
      <c r="AX66" s="97">
        <f ca="1">IF( AND(_Abono_Anticipado _Anterior = 0, _Ciclicas &lt;&gt; 1 ), _Pago_Proyectado _Anterior, SUM(_Componentes_Pago_Proyectado _Actual))</f>
        <v>0</v>
      </c>
      <c r="AY66" s="335">
        <f t="shared" ca="1" si="21"/>
        <v>0</v>
      </c>
      <c r="AZ66" s="335">
        <f t="shared" ca="1" si="22"/>
        <v>0</v>
      </c>
      <c r="BB66" s="20">
        <f t="shared" ca="1" si="45"/>
        <v>0</v>
      </c>
      <c r="BC66" s="309">
        <f t="shared" si="46"/>
        <v>30</v>
      </c>
      <c r="BD66" s="20">
        <f t="shared" ca="1" si="47"/>
        <v>0</v>
      </c>
      <c r="BE66" s="97">
        <f t="shared" ca="1" si="48"/>
        <v>0</v>
      </c>
      <c r="BF66" s="14"/>
      <c r="BG66" s="14"/>
      <c r="BI66" s="44"/>
      <c r="BJ66" s="102"/>
      <c r="BK66" s="32"/>
      <c r="BL66" s="32"/>
      <c r="BR66" s="14"/>
      <c r="BS66" s="14"/>
      <c r="BT66" s="14"/>
      <c r="BU66" s="14"/>
      <c r="BV66" s="14"/>
      <c r="BY66" s="14"/>
      <c r="BZ66" s="14"/>
      <c r="CA66" s="14"/>
    </row>
    <row r="67" spans="2:79">
      <c r="B67" s="32"/>
      <c r="C67" s="32"/>
      <c r="J67" s="14">
        <v>48</v>
      </c>
      <c r="L67" s="97">
        <f ca="1">MAX( _Saldo_Final _Anterior + _Saldo_Ciclico,0)</f>
        <v>0</v>
      </c>
      <c r="M67" s="97">
        <f ca="1">MIN( CHOOSE(Opcion.Abono, _Capital_Opcion_1, _Capital_Opcion_2, _Capital_Opcion_3) _Actual, _Saldo_Inicial _Actual)</f>
        <v>0</v>
      </c>
      <c r="N67" s="97">
        <f t="shared" ca="1" si="27"/>
        <v>0</v>
      </c>
      <c r="O67" s="309">
        <f ca="1">MAX( _Capital_Elegida _Actual, _Stopper_Capital _Actual)</f>
        <v>0</v>
      </c>
      <c r="P67" s="118">
        <f t="shared" ca="1" si="28"/>
        <v>0</v>
      </c>
      <c r="Q67" s="118">
        <f t="shared" ca="1" si="2"/>
        <v>0</v>
      </c>
      <c r="R67" s="309">
        <f>Fechas!_Dias_Interes_Pago</f>
        <v>30</v>
      </c>
      <c r="S67" s="20">
        <f t="shared" ca="1" si="29"/>
        <v>0</v>
      </c>
      <c r="T67" s="20">
        <f t="shared" ca="1" si="30"/>
        <v>0</v>
      </c>
      <c r="U67" s="20">
        <f t="shared" ca="1" si="31"/>
        <v>0</v>
      </c>
      <c r="V67" s="310">
        <f ca="1">T_Merger!_Salida_Abono_2</f>
        <v>0</v>
      </c>
      <c r="W67" s="20">
        <f t="shared" ca="1" si="32"/>
        <v>0</v>
      </c>
      <c r="X67"/>
      <c r="Y67" s="276">
        <v>0</v>
      </c>
      <c r="Z67" s="20">
        <f t="shared" ca="1" si="33"/>
        <v>0</v>
      </c>
      <c r="AA67" s="20">
        <f ca="1">_Abono_Sobrante + IF(_Ciclicas = 1, 0, _Sobrante_Acumulado_x_Ciclo _Anterior)</f>
        <v>0</v>
      </c>
      <c r="AB67" s="20">
        <f ca="1">IF(AND(_Ciclicas=1, _Ciclo&gt;1),  _Sobrante_Acumulado_x_Ciclo _Anterior,0)</f>
        <v>0</v>
      </c>
      <c r="AD67" s="14">
        <f t="shared" ca="1" si="34"/>
        <v>0</v>
      </c>
      <c r="AE67" s="14">
        <f t="shared" ca="1" si="35"/>
        <v>12</v>
      </c>
      <c r="AF67" s="14">
        <f t="shared" ca="1" si="36"/>
        <v>1</v>
      </c>
      <c r="AG67" s="14">
        <f ca="1">MIN(_Ciclicas_Remanentes _Actual, _Remanentes _Actual)</f>
        <v>0</v>
      </c>
      <c r="AH67" s="32">
        <f t="shared" ca="1" si="37"/>
        <v>4</v>
      </c>
      <c r="AJ67" s="20">
        <f t="shared" ca="1" si="12"/>
        <v>0</v>
      </c>
      <c r="AK67" s="97">
        <f t="shared" ca="1" si="38"/>
        <v>0</v>
      </c>
      <c r="AM67" s="97">
        <f ca="1">MAX( _Saldo_Final_Original _Anterior + _Saldo_Ciclico, 0)</f>
        <v>0</v>
      </c>
      <c r="AN67" s="20">
        <f t="shared" ca="1" si="39"/>
        <v>0</v>
      </c>
      <c r="AO67" s="20">
        <f t="shared" ca="1" si="15"/>
        <v>0</v>
      </c>
      <c r="AP67" s="20">
        <f t="shared" ca="1" si="40"/>
        <v>0</v>
      </c>
      <c r="AQ67" s="20">
        <f t="shared" ca="1" si="41"/>
        <v>0</v>
      </c>
      <c r="AR67" s="335">
        <f ca="1">MAX( ((( _Pago_Fijo - (_Interes_Regular_Original * (1 + Iva.Intereses)) ))), _Stopper_Capital_Original _Actual )</f>
        <v>0</v>
      </c>
      <c r="AS67" s="97">
        <f ca="1">MAX(_Saldo_Inicial_Original _Actual - _Capital_Original _Actual, 0)</f>
        <v>0</v>
      </c>
      <c r="AT67"/>
      <c r="AU67" s="20">
        <f t="shared" ca="1" si="42"/>
        <v>0</v>
      </c>
      <c r="AV67" s="20">
        <f t="shared" ca="1" si="43"/>
        <v>0</v>
      </c>
      <c r="AW67" s="20">
        <f t="shared" ca="1" si="44"/>
        <v>0</v>
      </c>
      <c r="AX67" s="97">
        <f ca="1">IF( AND(_Abono_Anticipado _Anterior = 0, _Ciclicas &lt;&gt; 1 ), _Pago_Proyectado _Anterior, SUM(_Componentes_Pago_Proyectado _Actual))</f>
        <v>0</v>
      </c>
      <c r="AY67" s="335">
        <f t="shared" ca="1" si="21"/>
        <v>0</v>
      </c>
      <c r="AZ67" s="335">
        <f t="shared" ca="1" si="22"/>
        <v>0</v>
      </c>
      <c r="BB67" s="20">
        <f t="shared" ca="1" si="45"/>
        <v>0</v>
      </c>
      <c r="BC67" s="309">
        <f t="shared" si="46"/>
        <v>30</v>
      </c>
      <c r="BD67" s="20">
        <f t="shared" ca="1" si="47"/>
        <v>0</v>
      </c>
      <c r="BE67" s="97">
        <f t="shared" ca="1" si="48"/>
        <v>0</v>
      </c>
      <c r="BF67" s="14"/>
      <c r="BG67" s="14"/>
      <c r="BI67" s="44"/>
      <c r="BJ67" s="102"/>
      <c r="BK67" s="32"/>
      <c r="BL67" s="32"/>
      <c r="BR67" s="14"/>
      <c r="BS67" s="14"/>
      <c r="BT67" s="14"/>
      <c r="BU67" s="14"/>
      <c r="BV67" s="14"/>
      <c r="BY67" s="14"/>
      <c r="BZ67" s="14"/>
      <c r="CA67" s="14"/>
    </row>
    <row r="68" spans="2:79">
      <c r="B68" s="32"/>
      <c r="C68" s="32"/>
      <c r="J68" s="14">
        <v>49</v>
      </c>
      <c r="L68" s="97">
        <f ca="1">MAX( _Saldo_Final _Anterior + _Saldo_Ciclico,0)</f>
        <v>0</v>
      </c>
      <c r="M68" s="97">
        <f ca="1">MIN( CHOOSE(Opcion.Abono, _Capital_Opcion_1, _Capital_Opcion_2, _Capital_Opcion_3) _Actual, _Saldo_Inicial _Actual)</f>
        <v>0</v>
      </c>
      <c r="N68" s="97">
        <f t="shared" ca="1" si="27"/>
        <v>0</v>
      </c>
      <c r="O68" s="309">
        <f ca="1">MAX( _Capital_Elegida _Actual, _Stopper_Capital _Actual)</f>
        <v>0</v>
      </c>
      <c r="P68" s="118">
        <f t="shared" ca="1" si="28"/>
        <v>0</v>
      </c>
      <c r="Q68" s="118">
        <f t="shared" ca="1" si="2"/>
        <v>0</v>
      </c>
      <c r="R68" s="309">
        <f>Fechas!_Dias_Interes_Pago</f>
        <v>30</v>
      </c>
      <c r="S68" s="20">
        <f t="shared" ca="1" si="29"/>
        <v>0</v>
      </c>
      <c r="T68" s="20">
        <f t="shared" ca="1" si="30"/>
        <v>0</v>
      </c>
      <c r="U68" s="20">
        <f t="shared" ca="1" si="31"/>
        <v>0</v>
      </c>
      <c r="V68" s="310">
        <f ca="1">T_Merger!_Salida_Abono_2</f>
        <v>0</v>
      </c>
      <c r="W68" s="20">
        <f t="shared" ca="1" si="32"/>
        <v>0</v>
      </c>
      <c r="X68"/>
      <c r="Y68" s="276">
        <v>0</v>
      </c>
      <c r="Z68" s="20">
        <f t="shared" ca="1" si="33"/>
        <v>0</v>
      </c>
      <c r="AA68" s="20">
        <f ca="1">_Abono_Sobrante + IF(_Ciclicas = 1, 0, _Sobrante_Acumulado_x_Ciclo _Anterior)</f>
        <v>0</v>
      </c>
      <c r="AB68" s="20">
        <f ca="1">IF(AND(_Ciclicas=1, _Ciclo&gt;1),  _Sobrante_Acumulado_x_Ciclo _Anterior,0)</f>
        <v>0</v>
      </c>
      <c r="AD68" s="14">
        <f t="shared" ca="1" si="34"/>
        <v>0</v>
      </c>
      <c r="AE68" s="14">
        <f t="shared" ca="1" si="35"/>
        <v>1</v>
      </c>
      <c r="AF68" s="14">
        <f t="shared" ca="1" si="36"/>
        <v>12</v>
      </c>
      <c r="AG68" s="14">
        <f ca="1">MIN(_Ciclicas_Remanentes _Actual, _Remanentes _Actual)</f>
        <v>0</v>
      </c>
      <c r="AH68" s="32">
        <f t="shared" ca="1" si="37"/>
        <v>5</v>
      </c>
      <c r="AJ68" s="20">
        <f t="shared" ca="1" si="12"/>
        <v>0</v>
      </c>
      <c r="AK68" s="97">
        <f t="shared" ca="1" si="38"/>
        <v>0</v>
      </c>
      <c r="AM68" s="97">
        <f ca="1">MAX( _Saldo_Final_Original _Anterior + _Saldo_Ciclico, 0)</f>
        <v>0</v>
      </c>
      <c r="AN68" s="20">
        <f t="shared" ca="1" si="39"/>
        <v>0</v>
      </c>
      <c r="AO68" s="20">
        <f t="shared" ca="1" si="15"/>
        <v>0</v>
      </c>
      <c r="AP68" s="20">
        <f t="shared" ca="1" si="40"/>
        <v>0</v>
      </c>
      <c r="AQ68" s="20">
        <f t="shared" ca="1" si="41"/>
        <v>0</v>
      </c>
      <c r="AR68" s="335">
        <f ca="1">MAX( ((( _Pago_Fijo - (_Interes_Regular_Original * (1 + Iva.Intereses)) ))), _Stopper_Capital_Original _Actual )</f>
        <v>0</v>
      </c>
      <c r="AS68" s="97">
        <f ca="1">MAX(_Saldo_Inicial_Original _Actual - _Capital_Original _Actual, 0)</f>
        <v>0</v>
      </c>
      <c r="AT68"/>
      <c r="AU68" s="20">
        <f t="shared" ca="1" si="42"/>
        <v>0</v>
      </c>
      <c r="AV68" s="20">
        <f t="shared" ca="1" si="43"/>
        <v>0</v>
      </c>
      <c r="AW68" s="20">
        <f t="shared" ca="1" si="44"/>
        <v>0</v>
      </c>
      <c r="AX68" s="97">
        <f ca="1">IF( AND(_Abono_Anticipado _Anterior = 0, _Ciclicas &lt;&gt; 1 ), _Pago_Proyectado _Anterior, SUM(_Componentes_Pago_Proyectado _Actual))</f>
        <v>0</v>
      </c>
      <c r="AY68" s="335">
        <f t="shared" ca="1" si="21"/>
        <v>0</v>
      </c>
      <c r="AZ68" s="335">
        <f t="shared" ca="1" si="22"/>
        <v>0</v>
      </c>
      <c r="BB68" s="20">
        <f t="shared" ca="1" si="45"/>
        <v>0</v>
      </c>
      <c r="BC68" s="309">
        <f t="shared" si="46"/>
        <v>30</v>
      </c>
      <c r="BD68" s="20">
        <f t="shared" ca="1" si="47"/>
        <v>0</v>
      </c>
      <c r="BE68" s="97">
        <f t="shared" ca="1" si="48"/>
        <v>0</v>
      </c>
      <c r="BF68" s="14"/>
      <c r="BG68" s="14"/>
      <c r="BI68" s="44"/>
      <c r="BJ68" s="102"/>
      <c r="BK68" s="32"/>
      <c r="BL68" s="32"/>
      <c r="BR68" s="14"/>
      <c r="BS68" s="14"/>
      <c r="BT68" s="14"/>
      <c r="BU68" s="14"/>
      <c r="BV68" s="14"/>
      <c r="BY68" s="14"/>
      <c r="BZ68" s="14"/>
      <c r="CA68" s="14"/>
    </row>
    <row r="69" spans="2:79">
      <c r="B69" s="32"/>
      <c r="C69" s="32"/>
      <c r="J69" s="14">
        <v>50</v>
      </c>
      <c r="L69" s="97">
        <f ca="1">MAX( _Saldo_Final _Anterior + _Saldo_Ciclico,0)</f>
        <v>0</v>
      </c>
      <c r="M69" s="97">
        <f ca="1">MIN( CHOOSE(Opcion.Abono, _Capital_Opcion_1, _Capital_Opcion_2, _Capital_Opcion_3) _Actual, _Saldo_Inicial _Actual)</f>
        <v>0</v>
      </c>
      <c r="N69" s="97">
        <f t="shared" ca="1" si="27"/>
        <v>0</v>
      </c>
      <c r="O69" s="309">
        <f ca="1">MAX( _Capital_Elegida _Actual, _Stopper_Capital _Actual)</f>
        <v>0</v>
      </c>
      <c r="P69" s="118">
        <f t="shared" ca="1" si="28"/>
        <v>0</v>
      </c>
      <c r="Q69" s="118">
        <f t="shared" ca="1" si="2"/>
        <v>0</v>
      </c>
      <c r="R69" s="309">
        <f>Fechas!_Dias_Interes_Pago</f>
        <v>30</v>
      </c>
      <c r="S69" s="20">
        <f t="shared" ca="1" si="29"/>
        <v>0</v>
      </c>
      <c r="T69" s="20">
        <f t="shared" ca="1" si="30"/>
        <v>0</v>
      </c>
      <c r="U69" s="20">
        <f t="shared" ca="1" si="31"/>
        <v>0</v>
      </c>
      <c r="V69" s="310">
        <f ca="1">T_Merger!_Salida_Abono_2</f>
        <v>0</v>
      </c>
      <c r="W69" s="20">
        <f t="shared" ca="1" si="32"/>
        <v>0</v>
      </c>
      <c r="X69"/>
      <c r="Y69" s="276">
        <v>0</v>
      </c>
      <c r="Z69" s="20">
        <f t="shared" ca="1" si="33"/>
        <v>0</v>
      </c>
      <c r="AA69" s="20">
        <f ca="1">_Abono_Sobrante + IF(_Ciclicas = 1, 0, _Sobrante_Acumulado_x_Ciclo _Anterior)</f>
        <v>0</v>
      </c>
      <c r="AB69" s="20">
        <f ca="1">IF(AND(_Ciclicas=1, _Ciclo&gt;1),  _Sobrante_Acumulado_x_Ciclo _Anterior,0)</f>
        <v>0</v>
      </c>
      <c r="AD69" s="14">
        <f t="shared" ca="1" si="34"/>
        <v>0</v>
      </c>
      <c r="AE69" s="14">
        <f t="shared" ca="1" si="35"/>
        <v>2</v>
      </c>
      <c r="AF69" s="14">
        <f t="shared" ca="1" si="36"/>
        <v>11</v>
      </c>
      <c r="AG69" s="14">
        <f ca="1">MIN(_Ciclicas_Remanentes _Actual, _Remanentes _Actual)</f>
        <v>0</v>
      </c>
      <c r="AH69" s="32">
        <f t="shared" ca="1" si="37"/>
        <v>5</v>
      </c>
      <c r="AJ69" s="20">
        <f t="shared" ca="1" si="12"/>
        <v>0</v>
      </c>
      <c r="AK69" s="97">
        <f t="shared" ca="1" si="38"/>
        <v>0</v>
      </c>
      <c r="AM69" s="97">
        <f ca="1">MAX( _Saldo_Final_Original _Anterior + _Saldo_Ciclico, 0)</f>
        <v>0</v>
      </c>
      <c r="AN69" s="20">
        <f t="shared" ca="1" si="39"/>
        <v>0</v>
      </c>
      <c r="AO69" s="20">
        <f t="shared" ca="1" si="15"/>
        <v>0</v>
      </c>
      <c r="AP69" s="20">
        <f t="shared" ca="1" si="40"/>
        <v>0</v>
      </c>
      <c r="AQ69" s="20">
        <f t="shared" ca="1" si="41"/>
        <v>0</v>
      </c>
      <c r="AR69" s="335">
        <f ca="1">MAX( ((( _Pago_Fijo - (_Interes_Regular_Original * (1 + Iva.Intereses)) ))), _Stopper_Capital_Original _Actual )</f>
        <v>0</v>
      </c>
      <c r="AS69" s="97">
        <f ca="1">MAX(_Saldo_Inicial_Original _Actual - _Capital_Original _Actual, 0)</f>
        <v>0</v>
      </c>
      <c r="AT69"/>
      <c r="AU69" s="20">
        <f t="shared" ca="1" si="42"/>
        <v>0</v>
      </c>
      <c r="AV69" s="20">
        <f t="shared" ca="1" si="43"/>
        <v>0</v>
      </c>
      <c r="AW69" s="20">
        <f t="shared" ca="1" si="44"/>
        <v>0</v>
      </c>
      <c r="AX69" s="97">
        <f ca="1">IF( AND(_Abono_Anticipado _Anterior = 0, _Ciclicas &lt;&gt; 1 ), _Pago_Proyectado _Anterior, SUM(_Componentes_Pago_Proyectado _Actual))</f>
        <v>0</v>
      </c>
      <c r="AY69" s="335">
        <f t="shared" ca="1" si="21"/>
        <v>0</v>
      </c>
      <c r="AZ69" s="335">
        <f t="shared" ca="1" si="22"/>
        <v>0</v>
      </c>
      <c r="BB69" s="20">
        <f t="shared" ca="1" si="45"/>
        <v>0</v>
      </c>
      <c r="BC69" s="309">
        <f t="shared" si="46"/>
        <v>30</v>
      </c>
      <c r="BD69" s="20">
        <f t="shared" ca="1" si="47"/>
        <v>0</v>
      </c>
      <c r="BE69" s="97">
        <f t="shared" ca="1" si="48"/>
        <v>0</v>
      </c>
      <c r="BF69" s="14"/>
      <c r="BG69" s="14"/>
      <c r="BI69" s="44"/>
      <c r="BJ69" s="102"/>
      <c r="BK69" s="32"/>
      <c r="BL69" s="32"/>
      <c r="BR69" s="14"/>
      <c r="BS69" s="14"/>
      <c r="BT69" s="14"/>
      <c r="BU69" s="14"/>
      <c r="BV69" s="14"/>
      <c r="BY69" s="14"/>
      <c r="BZ69" s="14"/>
      <c r="CA69" s="14"/>
    </row>
    <row r="70" spans="2:79">
      <c r="B70" s="32"/>
      <c r="C70" s="32"/>
      <c r="J70" s="14">
        <v>51</v>
      </c>
      <c r="L70" s="97">
        <f ca="1">MAX( _Saldo_Final _Anterior + _Saldo_Ciclico,0)</f>
        <v>0</v>
      </c>
      <c r="M70" s="97">
        <f ca="1">MIN( CHOOSE(Opcion.Abono, _Capital_Opcion_1, _Capital_Opcion_2, _Capital_Opcion_3) _Actual, _Saldo_Inicial _Actual)</f>
        <v>0</v>
      </c>
      <c r="N70" s="97">
        <f t="shared" ca="1" si="27"/>
        <v>0</v>
      </c>
      <c r="O70" s="309">
        <f ca="1">MAX( _Capital_Elegida _Actual, _Stopper_Capital _Actual)</f>
        <v>0</v>
      </c>
      <c r="P70" s="118">
        <f t="shared" ca="1" si="28"/>
        <v>0</v>
      </c>
      <c r="Q70" s="118">
        <f t="shared" ca="1" si="2"/>
        <v>0</v>
      </c>
      <c r="R70" s="309">
        <f>Fechas!_Dias_Interes_Pago</f>
        <v>30</v>
      </c>
      <c r="S70" s="20">
        <f t="shared" ca="1" si="29"/>
        <v>0</v>
      </c>
      <c r="T70" s="20">
        <f t="shared" ca="1" si="30"/>
        <v>0</v>
      </c>
      <c r="U70" s="20">
        <f t="shared" ca="1" si="31"/>
        <v>0</v>
      </c>
      <c r="V70" s="310">
        <f ca="1">T_Merger!_Salida_Abono_2</f>
        <v>0</v>
      </c>
      <c r="W70" s="20">
        <f t="shared" ca="1" si="32"/>
        <v>0</v>
      </c>
      <c r="X70"/>
      <c r="Y70" s="276">
        <v>0</v>
      </c>
      <c r="Z70" s="20">
        <f t="shared" ca="1" si="33"/>
        <v>0</v>
      </c>
      <c r="AA70" s="20">
        <f ca="1">_Abono_Sobrante + IF(_Ciclicas = 1, 0, _Sobrante_Acumulado_x_Ciclo _Anterior)</f>
        <v>0</v>
      </c>
      <c r="AB70" s="20">
        <f ca="1">IF(AND(_Ciclicas=1, _Ciclo&gt;1),  _Sobrante_Acumulado_x_Ciclo _Anterior,0)</f>
        <v>0</v>
      </c>
      <c r="AD70" s="14">
        <f t="shared" ca="1" si="34"/>
        <v>0</v>
      </c>
      <c r="AE70" s="14">
        <f t="shared" ca="1" si="35"/>
        <v>3</v>
      </c>
      <c r="AF70" s="14">
        <f t="shared" ca="1" si="36"/>
        <v>10</v>
      </c>
      <c r="AG70" s="14">
        <f ca="1">MIN(_Ciclicas_Remanentes _Actual, _Remanentes _Actual)</f>
        <v>0</v>
      </c>
      <c r="AH70" s="32">
        <f t="shared" ca="1" si="37"/>
        <v>5</v>
      </c>
      <c r="AJ70" s="20">
        <f t="shared" ca="1" si="12"/>
        <v>0</v>
      </c>
      <c r="AK70" s="97">
        <f t="shared" ca="1" si="38"/>
        <v>0</v>
      </c>
      <c r="AM70" s="97">
        <f ca="1">MAX( _Saldo_Final_Original _Anterior + _Saldo_Ciclico, 0)</f>
        <v>0</v>
      </c>
      <c r="AN70" s="20">
        <f t="shared" ca="1" si="39"/>
        <v>0</v>
      </c>
      <c r="AO70" s="20">
        <f t="shared" ca="1" si="15"/>
        <v>0</v>
      </c>
      <c r="AP70" s="20">
        <f t="shared" ca="1" si="40"/>
        <v>0</v>
      </c>
      <c r="AQ70" s="20">
        <f t="shared" ca="1" si="41"/>
        <v>0</v>
      </c>
      <c r="AR70" s="335">
        <f ca="1">MAX( ((( _Pago_Fijo - (_Interes_Regular_Original * (1 + Iva.Intereses)) ))), _Stopper_Capital_Original _Actual )</f>
        <v>0</v>
      </c>
      <c r="AS70" s="97">
        <f ca="1">MAX(_Saldo_Inicial_Original _Actual - _Capital_Original _Actual, 0)</f>
        <v>0</v>
      </c>
      <c r="AT70"/>
      <c r="AU70" s="20">
        <f t="shared" ca="1" si="42"/>
        <v>0</v>
      </c>
      <c r="AV70" s="20">
        <f t="shared" ca="1" si="43"/>
        <v>0</v>
      </c>
      <c r="AW70" s="20">
        <f t="shared" ca="1" si="44"/>
        <v>0</v>
      </c>
      <c r="AX70" s="97">
        <f ca="1">IF( AND(_Abono_Anticipado _Anterior = 0, _Ciclicas &lt;&gt; 1 ), _Pago_Proyectado _Anterior, SUM(_Componentes_Pago_Proyectado _Actual))</f>
        <v>0</v>
      </c>
      <c r="AY70" s="335">
        <f t="shared" ca="1" si="21"/>
        <v>0</v>
      </c>
      <c r="AZ70" s="335">
        <f t="shared" ca="1" si="22"/>
        <v>0</v>
      </c>
      <c r="BB70" s="20">
        <f t="shared" ca="1" si="45"/>
        <v>0</v>
      </c>
      <c r="BC70" s="309">
        <f t="shared" si="46"/>
        <v>30</v>
      </c>
      <c r="BD70" s="20">
        <f t="shared" ca="1" si="47"/>
        <v>0</v>
      </c>
      <c r="BE70" s="97">
        <f t="shared" ca="1" si="48"/>
        <v>0</v>
      </c>
      <c r="BF70" s="14"/>
      <c r="BG70" s="14"/>
      <c r="BI70" s="44"/>
      <c r="BJ70" s="102"/>
      <c r="BK70" s="32"/>
      <c r="BL70" s="32"/>
      <c r="BR70" s="14"/>
      <c r="BS70" s="14"/>
      <c r="BT70" s="14"/>
      <c r="BU70" s="14"/>
      <c r="BV70" s="14"/>
      <c r="BY70" s="14"/>
      <c r="BZ70" s="14"/>
      <c r="CA70" s="14"/>
    </row>
    <row r="71" spans="2:79">
      <c r="B71" s="32"/>
      <c r="C71" s="32"/>
      <c r="J71" s="14">
        <v>52</v>
      </c>
      <c r="L71" s="97">
        <f ca="1">MAX( _Saldo_Final _Anterior + _Saldo_Ciclico,0)</f>
        <v>0</v>
      </c>
      <c r="M71" s="97">
        <f ca="1">MIN( CHOOSE(Opcion.Abono, _Capital_Opcion_1, _Capital_Opcion_2, _Capital_Opcion_3) _Actual, _Saldo_Inicial _Actual)</f>
        <v>0</v>
      </c>
      <c r="N71" s="97">
        <f t="shared" ca="1" si="27"/>
        <v>0</v>
      </c>
      <c r="O71" s="309">
        <f ca="1">MAX( _Capital_Elegida _Actual, _Stopper_Capital _Actual)</f>
        <v>0</v>
      </c>
      <c r="P71" s="118">
        <f t="shared" ca="1" si="28"/>
        <v>0</v>
      </c>
      <c r="Q71" s="118">
        <f t="shared" ca="1" si="2"/>
        <v>0</v>
      </c>
      <c r="R71" s="309">
        <f>Fechas!_Dias_Interes_Pago</f>
        <v>30</v>
      </c>
      <c r="S71" s="20">
        <f t="shared" ca="1" si="29"/>
        <v>0</v>
      </c>
      <c r="T71" s="20">
        <f t="shared" ca="1" si="30"/>
        <v>0</v>
      </c>
      <c r="U71" s="20">
        <f t="shared" ca="1" si="31"/>
        <v>0</v>
      </c>
      <c r="V71" s="310">
        <f ca="1">T_Merger!_Salida_Abono_2</f>
        <v>0</v>
      </c>
      <c r="W71" s="20">
        <f t="shared" ca="1" si="32"/>
        <v>0</v>
      </c>
      <c r="X71"/>
      <c r="Y71" s="276">
        <v>0</v>
      </c>
      <c r="Z71" s="20">
        <f t="shared" ca="1" si="33"/>
        <v>0</v>
      </c>
      <c r="AA71" s="20">
        <f ca="1">_Abono_Sobrante + IF(_Ciclicas = 1, 0, _Sobrante_Acumulado_x_Ciclo _Anterior)</f>
        <v>0</v>
      </c>
      <c r="AB71" s="20">
        <f ca="1">IF(AND(_Ciclicas=1, _Ciclo&gt;1),  _Sobrante_Acumulado_x_Ciclo _Anterior,0)</f>
        <v>0</v>
      </c>
      <c r="AD71" s="14">
        <f t="shared" ca="1" si="34"/>
        <v>0</v>
      </c>
      <c r="AE71" s="14">
        <f t="shared" ca="1" si="35"/>
        <v>4</v>
      </c>
      <c r="AF71" s="14">
        <f t="shared" ca="1" si="36"/>
        <v>9</v>
      </c>
      <c r="AG71" s="14">
        <f ca="1">MIN(_Ciclicas_Remanentes _Actual, _Remanentes _Actual)</f>
        <v>0</v>
      </c>
      <c r="AH71" s="32">
        <f t="shared" ca="1" si="37"/>
        <v>5</v>
      </c>
      <c r="AJ71" s="20">
        <f t="shared" ca="1" si="12"/>
        <v>0</v>
      </c>
      <c r="AK71" s="97">
        <f t="shared" ca="1" si="38"/>
        <v>0</v>
      </c>
      <c r="AM71" s="97">
        <f ca="1">MAX( _Saldo_Final_Original _Anterior + _Saldo_Ciclico, 0)</f>
        <v>0</v>
      </c>
      <c r="AN71" s="20">
        <f t="shared" ca="1" si="39"/>
        <v>0</v>
      </c>
      <c r="AO71" s="20">
        <f t="shared" ca="1" si="15"/>
        <v>0</v>
      </c>
      <c r="AP71" s="20">
        <f t="shared" ca="1" si="40"/>
        <v>0</v>
      </c>
      <c r="AQ71" s="20">
        <f t="shared" ca="1" si="41"/>
        <v>0</v>
      </c>
      <c r="AR71" s="335">
        <f ca="1">MAX( ((( _Pago_Fijo - (_Interes_Regular_Original * (1 + Iva.Intereses)) ))), _Stopper_Capital_Original _Actual )</f>
        <v>0</v>
      </c>
      <c r="AS71" s="97">
        <f ca="1">MAX(_Saldo_Inicial_Original _Actual - _Capital_Original _Actual, 0)</f>
        <v>0</v>
      </c>
      <c r="AT71"/>
      <c r="AU71" s="20">
        <f t="shared" ca="1" si="42"/>
        <v>0</v>
      </c>
      <c r="AV71" s="20">
        <f t="shared" ca="1" si="43"/>
        <v>0</v>
      </c>
      <c r="AW71" s="20">
        <f t="shared" ca="1" si="44"/>
        <v>0</v>
      </c>
      <c r="AX71" s="97">
        <f ca="1">IF( AND(_Abono_Anticipado _Anterior = 0, _Ciclicas &lt;&gt; 1 ), _Pago_Proyectado _Anterior, SUM(_Componentes_Pago_Proyectado _Actual))</f>
        <v>0</v>
      </c>
      <c r="AY71" s="335">
        <f t="shared" ca="1" si="21"/>
        <v>0</v>
      </c>
      <c r="AZ71" s="335">
        <f t="shared" ca="1" si="22"/>
        <v>0</v>
      </c>
      <c r="BB71" s="20">
        <f t="shared" ca="1" si="45"/>
        <v>0</v>
      </c>
      <c r="BC71" s="309">
        <f t="shared" si="46"/>
        <v>30</v>
      </c>
      <c r="BD71" s="20">
        <f t="shared" ca="1" si="47"/>
        <v>0</v>
      </c>
      <c r="BE71" s="97">
        <f t="shared" ca="1" si="48"/>
        <v>0</v>
      </c>
      <c r="BF71" s="14"/>
      <c r="BG71" s="14"/>
      <c r="BI71" s="44"/>
      <c r="BJ71" s="102"/>
      <c r="BK71" s="32"/>
      <c r="BL71" s="32"/>
      <c r="BR71" s="14"/>
      <c r="BS71" s="14"/>
      <c r="BT71" s="14"/>
      <c r="BU71" s="14"/>
      <c r="BV71" s="14"/>
      <c r="BY71" s="14"/>
      <c r="BZ71" s="14"/>
      <c r="CA71" s="14"/>
    </row>
    <row r="72" spans="2:79">
      <c r="B72" s="32"/>
      <c r="C72" s="32"/>
      <c r="J72" s="14">
        <v>53</v>
      </c>
      <c r="L72" s="97">
        <f ca="1">MAX( _Saldo_Final _Anterior + _Saldo_Ciclico,0)</f>
        <v>0</v>
      </c>
      <c r="M72" s="97">
        <f ca="1">MIN( CHOOSE(Opcion.Abono, _Capital_Opcion_1, _Capital_Opcion_2, _Capital_Opcion_3) _Actual, _Saldo_Inicial _Actual)</f>
        <v>0</v>
      </c>
      <c r="N72" s="97">
        <f t="shared" ca="1" si="27"/>
        <v>0</v>
      </c>
      <c r="O72" s="309">
        <f ca="1">MAX( _Capital_Elegida _Actual, _Stopper_Capital _Actual)</f>
        <v>0</v>
      </c>
      <c r="P72" s="118">
        <f t="shared" ca="1" si="28"/>
        <v>0</v>
      </c>
      <c r="Q72" s="118">
        <f t="shared" ca="1" si="2"/>
        <v>0</v>
      </c>
      <c r="R72" s="309">
        <f>Fechas!_Dias_Interes_Pago</f>
        <v>30</v>
      </c>
      <c r="S72" s="20">
        <f t="shared" ca="1" si="29"/>
        <v>0</v>
      </c>
      <c r="T72" s="20">
        <f t="shared" ca="1" si="30"/>
        <v>0</v>
      </c>
      <c r="U72" s="20">
        <f t="shared" ca="1" si="31"/>
        <v>0</v>
      </c>
      <c r="V72" s="310">
        <f ca="1">T_Merger!_Salida_Abono_2</f>
        <v>0</v>
      </c>
      <c r="W72" s="20">
        <f t="shared" ca="1" si="32"/>
        <v>0</v>
      </c>
      <c r="X72"/>
      <c r="Y72" s="276">
        <v>0</v>
      </c>
      <c r="Z72" s="20">
        <f t="shared" ca="1" si="33"/>
        <v>0</v>
      </c>
      <c r="AA72" s="20">
        <f ca="1">_Abono_Sobrante + IF(_Ciclicas = 1, 0, _Sobrante_Acumulado_x_Ciclo _Anterior)</f>
        <v>0</v>
      </c>
      <c r="AB72" s="20">
        <f ca="1">IF(AND(_Ciclicas=1, _Ciclo&gt;1),  _Sobrante_Acumulado_x_Ciclo _Anterior,0)</f>
        <v>0</v>
      </c>
      <c r="AD72" s="14">
        <f t="shared" ca="1" si="34"/>
        <v>0</v>
      </c>
      <c r="AE72" s="14">
        <f t="shared" ca="1" si="35"/>
        <v>5</v>
      </c>
      <c r="AF72" s="14">
        <f t="shared" ca="1" si="36"/>
        <v>8</v>
      </c>
      <c r="AG72" s="14">
        <f ca="1">MIN(_Ciclicas_Remanentes _Actual, _Remanentes _Actual)</f>
        <v>0</v>
      </c>
      <c r="AH72" s="32">
        <f t="shared" ca="1" si="37"/>
        <v>5</v>
      </c>
      <c r="AJ72" s="20">
        <f t="shared" ca="1" si="12"/>
        <v>0</v>
      </c>
      <c r="AK72" s="97">
        <f t="shared" ca="1" si="38"/>
        <v>0</v>
      </c>
      <c r="AM72" s="97">
        <f ca="1">MAX( _Saldo_Final_Original _Anterior + _Saldo_Ciclico, 0)</f>
        <v>0</v>
      </c>
      <c r="AN72" s="20">
        <f t="shared" ca="1" si="39"/>
        <v>0</v>
      </c>
      <c r="AO72" s="20">
        <f t="shared" ca="1" si="15"/>
        <v>0</v>
      </c>
      <c r="AP72" s="20">
        <f t="shared" ca="1" si="40"/>
        <v>0</v>
      </c>
      <c r="AQ72" s="20">
        <f t="shared" ca="1" si="41"/>
        <v>0</v>
      </c>
      <c r="AR72" s="335">
        <f ca="1">MAX( ((( _Pago_Fijo - (_Interes_Regular_Original * (1 + Iva.Intereses)) ))), _Stopper_Capital_Original _Actual )</f>
        <v>0</v>
      </c>
      <c r="AS72" s="97">
        <f ca="1">MAX(_Saldo_Inicial_Original _Actual - _Capital_Original _Actual, 0)</f>
        <v>0</v>
      </c>
      <c r="AT72"/>
      <c r="AU72" s="20">
        <f t="shared" ca="1" si="42"/>
        <v>0</v>
      </c>
      <c r="AV72" s="20">
        <f t="shared" ca="1" si="43"/>
        <v>0</v>
      </c>
      <c r="AW72" s="20">
        <f t="shared" ca="1" si="44"/>
        <v>0</v>
      </c>
      <c r="AX72" s="97">
        <f ca="1">IF( AND(_Abono_Anticipado _Anterior = 0, _Ciclicas &lt;&gt; 1 ), _Pago_Proyectado _Anterior, SUM(_Componentes_Pago_Proyectado _Actual))</f>
        <v>0</v>
      </c>
      <c r="AY72" s="335">
        <f t="shared" ca="1" si="21"/>
        <v>0</v>
      </c>
      <c r="AZ72" s="335">
        <f t="shared" ca="1" si="22"/>
        <v>0</v>
      </c>
      <c r="BB72" s="20">
        <f t="shared" ca="1" si="45"/>
        <v>0</v>
      </c>
      <c r="BC72" s="309">
        <f t="shared" si="46"/>
        <v>30</v>
      </c>
      <c r="BD72" s="20">
        <f t="shared" ca="1" si="47"/>
        <v>0</v>
      </c>
      <c r="BE72" s="97">
        <f t="shared" ca="1" si="48"/>
        <v>0</v>
      </c>
      <c r="BF72" s="14"/>
      <c r="BG72" s="14"/>
      <c r="BI72" s="44"/>
      <c r="BJ72" s="102"/>
      <c r="BK72" s="32"/>
      <c r="BL72" s="32"/>
      <c r="BR72" s="14"/>
      <c r="BS72" s="14"/>
      <c r="BT72" s="14"/>
      <c r="BU72" s="14"/>
      <c r="BV72" s="14"/>
      <c r="BY72" s="14"/>
      <c r="BZ72" s="14"/>
      <c r="CA72" s="14"/>
    </row>
    <row r="73" spans="2:79">
      <c r="B73" s="32"/>
      <c r="C73" s="32"/>
      <c r="J73" s="14">
        <v>54</v>
      </c>
      <c r="L73" s="97">
        <f ca="1">MAX( _Saldo_Final _Anterior + _Saldo_Ciclico,0)</f>
        <v>0</v>
      </c>
      <c r="M73" s="97">
        <f ca="1">MIN( CHOOSE(Opcion.Abono, _Capital_Opcion_1, _Capital_Opcion_2, _Capital_Opcion_3) _Actual, _Saldo_Inicial _Actual)</f>
        <v>0</v>
      </c>
      <c r="N73" s="97">
        <f t="shared" ca="1" si="27"/>
        <v>0</v>
      </c>
      <c r="O73" s="309">
        <f ca="1">MAX( _Capital_Elegida _Actual, _Stopper_Capital _Actual)</f>
        <v>0</v>
      </c>
      <c r="P73" s="118">
        <f t="shared" ca="1" si="28"/>
        <v>0</v>
      </c>
      <c r="Q73" s="118">
        <f t="shared" ca="1" si="2"/>
        <v>0</v>
      </c>
      <c r="R73" s="309">
        <f>Fechas!_Dias_Interes_Pago</f>
        <v>30</v>
      </c>
      <c r="S73" s="20">
        <f t="shared" ca="1" si="29"/>
        <v>0</v>
      </c>
      <c r="T73" s="20">
        <f t="shared" ca="1" si="30"/>
        <v>0</v>
      </c>
      <c r="U73" s="20">
        <f t="shared" ca="1" si="31"/>
        <v>0</v>
      </c>
      <c r="V73" s="310">
        <f ca="1">T_Merger!_Salida_Abono_2</f>
        <v>0</v>
      </c>
      <c r="W73" s="20">
        <f t="shared" ca="1" si="32"/>
        <v>0</v>
      </c>
      <c r="X73"/>
      <c r="Y73" s="276">
        <v>0</v>
      </c>
      <c r="Z73" s="20">
        <f t="shared" ca="1" si="33"/>
        <v>0</v>
      </c>
      <c r="AA73" s="20">
        <f ca="1">_Abono_Sobrante + IF(_Ciclicas = 1, 0, _Sobrante_Acumulado_x_Ciclo _Anterior)</f>
        <v>0</v>
      </c>
      <c r="AB73" s="20">
        <f ca="1">IF(AND(_Ciclicas=1, _Ciclo&gt;1),  _Sobrante_Acumulado_x_Ciclo _Anterior,0)</f>
        <v>0</v>
      </c>
      <c r="AD73" s="14">
        <f t="shared" ca="1" si="34"/>
        <v>0</v>
      </c>
      <c r="AE73" s="14">
        <f t="shared" ca="1" si="35"/>
        <v>6</v>
      </c>
      <c r="AF73" s="14">
        <f t="shared" ca="1" si="36"/>
        <v>7</v>
      </c>
      <c r="AG73" s="14">
        <f ca="1">MIN(_Ciclicas_Remanentes _Actual, _Remanentes _Actual)</f>
        <v>0</v>
      </c>
      <c r="AH73" s="32">
        <f t="shared" ca="1" si="37"/>
        <v>5</v>
      </c>
      <c r="AJ73" s="20">
        <f t="shared" ca="1" si="12"/>
        <v>0</v>
      </c>
      <c r="AK73" s="97">
        <f t="shared" ca="1" si="38"/>
        <v>0</v>
      </c>
      <c r="AM73" s="97">
        <f ca="1">MAX( _Saldo_Final_Original _Anterior + _Saldo_Ciclico, 0)</f>
        <v>0</v>
      </c>
      <c r="AN73" s="20">
        <f t="shared" ca="1" si="39"/>
        <v>0</v>
      </c>
      <c r="AO73" s="20">
        <f t="shared" ca="1" si="15"/>
        <v>0</v>
      </c>
      <c r="AP73" s="20">
        <f t="shared" ca="1" si="40"/>
        <v>0</v>
      </c>
      <c r="AQ73" s="20">
        <f t="shared" ca="1" si="41"/>
        <v>0</v>
      </c>
      <c r="AR73" s="335">
        <f ca="1">MAX( ((( _Pago_Fijo - (_Interes_Regular_Original * (1 + Iva.Intereses)) ))), _Stopper_Capital_Original _Actual )</f>
        <v>0</v>
      </c>
      <c r="AS73" s="97">
        <f ca="1">MAX(_Saldo_Inicial_Original _Actual - _Capital_Original _Actual, 0)</f>
        <v>0</v>
      </c>
      <c r="AT73"/>
      <c r="AU73" s="20">
        <f t="shared" ca="1" si="42"/>
        <v>0</v>
      </c>
      <c r="AV73" s="20">
        <f t="shared" ca="1" si="43"/>
        <v>0</v>
      </c>
      <c r="AW73" s="20">
        <f t="shared" ca="1" si="44"/>
        <v>0</v>
      </c>
      <c r="AX73" s="97">
        <f ca="1">IF( AND(_Abono_Anticipado _Anterior = 0, _Ciclicas &lt;&gt; 1 ), _Pago_Proyectado _Anterior, SUM(_Componentes_Pago_Proyectado _Actual))</f>
        <v>0</v>
      </c>
      <c r="AY73" s="335">
        <f t="shared" ca="1" si="21"/>
        <v>0</v>
      </c>
      <c r="AZ73" s="335">
        <f t="shared" ca="1" si="22"/>
        <v>0</v>
      </c>
      <c r="BB73" s="20">
        <f t="shared" ca="1" si="45"/>
        <v>0</v>
      </c>
      <c r="BC73" s="309">
        <f t="shared" si="46"/>
        <v>30</v>
      </c>
      <c r="BD73" s="20">
        <f t="shared" ca="1" si="47"/>
        <v>0</v>
      </c>
      <c r="BE73" s="97">
        <f t="shared" ca="1" si="48"/>
        <v>0</v>
      </c>
      <c r="BF73" s="14"/>
      <c r="BG73" s="14"/>
      <c r="BI73" s="44"/>
      <c r="BJ73" s="102"/>
      <c r="BK73" s="32"/>
      <c r="BL73" s="32"/>
      <c r="BR73" s="14"/>
      <c r="BS73" s="14"/>
      <c r="BT73" s="14"/>
      <c r="BU73" s="14"/>
      <c r="BV73" s="14"/>
      <c r="BY73" s="14"/>
      <c r="BZ73" s="14"/>
      <c r="CA73" s="14"/>
    </row>
    <row r="74" spans="2:79">
      <c r="B74" s="32"/>
      <c r="C74" s="32"/>
      <c r="J74" s="14">
        <v>55</v>
      </c>
      <c r="L74" s="97">
        <f ca="1">MAX( _Saldo_Final _Anterior + _Saldo_Ciclico,0)</f>
        <v>0</v>
      </c>
      <c r="M74" s="97">
        <f ca="1">MIN( CHOOSE(Opcion.Abono, _Capital_Opcion_1, _Capital_Opcion_2, _Capital_Opcion_3) _Actual, _Saldo_Inicial _Actual)</f>
        <v>0</v>
      </c>
      <c r="N74" s="97">
        <f t="shared" ca="1" si="27"/>
        <v>0</v>
      </c>
      <c r="O74" s="309">
        <f ca="1">MAX( _Capital_Elegida _Actual, _Stopper_Capital _Actual)</f>
        <v>0</v>
      </c>
      <c r="P74" s="118">
        <f t="shared" ca="1" si="28"/>
        <v>0</v>
      </c>
      <c r="Q74" s="118">
        <f t="shared" ca="1" si="2"/>
        <v>0</v>
      </c>
      <c r="R74" s="309">
        <f>Fechas!_Dias_Interes_Pago</f>
        <v>30</v>
      </c>
      <c r="S74" s="20">
        <f t="shared" ca="1" si="29"/>
        <v>0</v>
      </c>
      <c r="T74" s="20">
        <f t="shared" ca="1" si="30"/>
        <v>0</v>
      </c>
      <c r="U74" s="20">
        <f t="shared" ca="1" si="31"/>
        <v>0</v>
      </c>
      <c r="V74" s="310">
        <f ca="1">T_Merger!_Salida_Abono_2</f>
        <v>0</v>
      </c>
      <c r="W74" s="20">
        <f t="shared" ca="1" si="32"/>
        <v>0</v>
      </c>
      <c r="X74"/>
      <c r="Y74" s="276">
        <v>0</v>
      </c>
      <c r="Z74" s="20">
        <f t="shared" ca="1" si="33"/>
        <v>0</v>
      </c>
      <c r="AA74" s="20">
        <f ca="1">_Abono_Sobrante + IF(_Ciclicas = 1, 0, _Sobrante_Acumulado_x_Ciclo _Anterior)</f>
        <v>0</v>
      </c>
      <c r="AB74" s="20">
        <f ca="1">IF(AND(_Ciclicas=1, _Ciclo&gt;1),  _Sobrante_Acumulado_x_Ciclo _Anterior,0)</f>
        <v>0</v>
      </c>
      <c r="AD74" s="14">
        <f t="shared" ca="1" si="34"/>
        <v>0</v>
      </c>
      <c r="AE74" s="14">
        <f t="shared" ca="1" si="35"/>
        <v>7</v>
      </c>
      <c r="AF74" s="14">
        <f t="shared" ca="1" si="36"/>
        <v>6</v>
      </c>
      <c r="AG74" s="14">
        <f ca="1">MIN(_Ciclicas_Remanentes _Actual, _Remanentes _Actual)</f>
        <v>0</v>
      </c>
      <c r="AH74" s="32">
        <f t="shared" ca="1" si="37"/>
        <v>5</v>
      </c>
      <c r="AJ74" s="20">
        <f t="shared" ca="1" si="12"/>
        <v>0</v>
      </c>
      <c r="AK74" s="97">
        <f t="shared" ca="1" si="38"/>
        <v>0</v>
      </c>
      <c r="AM74" s="97">
        <f ca="1">MAX( _Saldo_Final_Original _Anterior + _Saldo_Ciclico, 0)</f>
        <v>0</v>
      </c>
      <c r="AN74" s="20">
        <f t="shared" ca="1" si="39"/>
        <v>0</v>
      </c>
      <c r="AO74" s="20">
        <f t="shared" ca="1" si="15"/>
        <v>0</v>
      </c>
      <c r="AP74" s="20">
        <f t="shared" ca="1" si="40"/>
        <v>0</v>
      </c>
      <c r="AQ74" s="20">
        <f t="shared" ca="1" si="41"/>
        <v>0</v>
      </c>
      <c r="AR74" s="335">
        <f ca="1">MAX( ((( _Pago_Fijo - (_Interes_Regular_Original * (1 + Iva.Intereses)) ))), _Stopper_Capital_Original _Actual )</f>
        <v>0</v>
      </c>
      <c r="AS74" s="97">
        <f ca="1">MAX(_Saldo_Inicial_Original _Actual - _Capital_Original _Actual, 0)</f>
        <v>0</v>
      </c>
      <c r="AT74"/>
      <c r="AU74" s="20">
        <f t="shared" ca="1" si="42"/>
        <v>0</v>
      </c>
      <c r="AV74" s="20">
        <f t="shared" ca="1" si="43"/>
        <v>0</v>
      </c>
      <c r="AW74" s="20">
        <f t="shared" ca="1" si="44"/>
        <v>0</v>
      </c>
      <c r="AX74" s="97">
        <f ca="1">IF( AND(_Abono_Anticipado _Anterior = 0, _Ciclicas &lt;&gt; 1 ), _Pago_Proyectado _Anterior, SUM(_Componentes_Pago_Proyectado _Actual))</f>
        <v>0</v>
      </c>
      <c r="AY74" s="335">
        <f t="shared" ca="1" si="21"/>
        <v>0</v>
      </c>
      <c r="AZ74" s="335">
        <f t="shared" ca="1" si="22"/>
        <v>0</v>
      </c>
      <c r="BB74" s="20">
        <f t="shared" ca="1" si="45"/>
        <v>0</v>
      </c>
      <c r="BC74" s="309">
        <f t="shared" si="46"/>
        <v>30</v>
      </c>
      <c r="BD74" s="20">
        <f t="shared" ca="1" si="47"/>
        <v>0</v>
      </c>
      <c r="BE74" s="97">
        <f t="shared" ca="1" si="48"/>
        <v>0</v>
      </c>
      <c r="BF74" s="14"/>
      <c r="BG74" s="14"/>
      <c r="BI74" s="44"/>
      <c r="BJ74" s="102"/>
      <c r="BK74" s="32"/>
      <c r="BL74" s="32"/>
      <c r="BR74" s="14"/>
      <c r="BS74" s="14"/>
      <c r="BT74" s="14"/>
      <c r="BU74" s="14"/>
      <c r="BV74" s="14"/>
      <c r="BY74" s="14"/>
      <c r="BZ74" s="14"/>
      <c r="CA74" s="14"/>
    </row>
    <row r="75" spans="2:79">
      <c r="B75" s="32"/>
      <c r="C75" s="32"/>
      <c r="J75" s="14">
        <v>56</v>
      </c>
      <c r="L75" s="97">
        <f ca="1">MAX( _Saldo_Final _Anterior + _Saldo_Ciclico,0)</f>
        <v>0</v>
      </c>
      <c r="M75" s="97">
        <f ca="1">MIN( CHOOSE(Opcion.Abono, _Capital_Opcion_1, _Capital_Opcion_2, _Capital_Opcion_3) _Actual, _Saldo_Inicial _Actual)</f>
        <v>0</v>
      </c>
      <c r="N75" s="97">
        <f t="shared" ca="1" si="27"/>
        <v>0</v>
      </c>
      <c r="O75" s="309">
        <f ca="1">MAX( _Capital_Elegida _Actual, _Stopper_Capital _Actual)</f>
        <v>0</v>
      </c>
      <c r="P75" s="118">
        <f t="shared" ca="1" si="28"/>
        <v>0</v>
      </c>
      <c r="Q75" s="118">
        <f t="shared" ca="1" si="2"/>
        <v>0</v>
      </c>
      <c r="R75" s="309">
        <f>Fechas!_Dias_Interes_Pago</f>
        <v>30</v>
      </c>
      <c r="S75" s="20">
        <f t="shared" ca="1" si="29"/>
        <v>0</v>
      </c>
      <c r="T75" s="20">
        <f t="shared" ca="1" si="30"/>
        <v>0</v>
      </c>
      <c r="U75" s="20">
        <f t="shared" ca="1" si="31"/>
        <v>0</v>
      </c>
      <c r="V75" s="310">
        <f ca="1">T_Merger!_Salida_Abono_2</f>
        <v>0</v>
      </c>
      <c r="W75" s="20">
        <f t="shared" ca="1" si="32"/>
        <v>0</v>
      </c>
      <c r="X75"/>
      <c r="Y75" s="276">
        <v>0</v>
      </c>
      <c r="Z75" s="20">
        <f t="shared" ca="1" si="33"/>
        <v>0</v>
      </c>
      <c r="AA75" s="20">
        <f ca="1">_Abono_Sobrante + IF(_Ciclicas = 1, 0, _Sobrante_Acumulado_x_Ciclo _Anterior)</f>
        <v>0</v>
      </c>
      <c r="AB75" s="20">
        <f ca="1">IF(AND(_Ciclicas=1, _Ciclo&gt;1),  _Sobrante_Acumulado_x_Ciclo _Anterior,0)</f>
        <v>0</v>
      </c>
      <c r="AD75" s="14">
        <f t="shared" ca="1" si="34"/>
        <v>0</v>
      </c>
      <c r="AE75" s="14">
        <f t="shared" ca="1" si="35"/>
        <v>8</v>
      </c>
      <c r="AF75" s="14">
        <f t="shared" ca="1" si="36"/>
        <v>5</v>
      </c>
      <c r="AG75" s="14">
        <f ca="1">MIN(_Ciclicas_Remanentes _Actual, _Remanentes _Actual)</f>
        <v>0</v>
      </c>
      <c r="AH75" s="32">
        <f t="shared" ca="1" si="37"/>
        <v>5</v>
      </c>
      <c r="AJ75" s="20">
        <f t="shared" ca="1" si="12"/>
        <v>0</v>
      </c>
      <c r="AK75" s="97">
        <f t="shared" ca="1" si="38"/>
        <v>0</v>
      </c>
      <c r="AM75" s="97">
        <f ca="1">MAX( _Saldo_Final_Original _Anterior + _Saldo_Ciclico, 0)</f>
        <v>0</v>
      </c>
      <c r="AN75" s="20">
        <f t="shared" ca="1" si="39"/>
        <v>0</v>
      </c>
      <c r="AO75" s="20">
        <f t="shared" ca="1" si="15"/>
        <v>0</v>
      </c>
      <c r="AP75" s="20">
        <f t="shared" ca="1" si="40"/>
        <v>0</v>
      </c>
      <c r="AQ75" s="20">
        <f t="shared" ca="1" si="41"/>
        <v>0</v>
      </c>
      <c r="AR75" s="335">
        <f ca="1">MAX( ((( _Pago_Fijo - (_Interes_Regular_Original * (1 + Iva.Intereses)) ))), _Stopper_Capital_Original _Actual )</f>
        <v>0</v>
      </c>
      <c r="AS75" s="97">
        <f ca="1">MAX(_Saldo_Inicial_Original _Actual - _Capital_Original _Actual, 0)</f>
        <v>0</v>
      </c>
      <c r="AT75"/>
      <c r="AU75" s="20">
        <f t="shared" ca="1" si="42"/>
        <v>0</v>
      </c>
      <c r="AV75" s="20">
        <f t="shared" ca="1" si="43"/>
        <v>0</v>
      </c>
      <c r="AW75" s="20">
        <f t="shared" ca="1" si="44"/>
        <v>0</v>
      </c>
      <c r="AX75" s="97">
        <f ca="1">IF( AND(_Abono_Anticipado _Anterior = 0, _Ciclicas &lt;&gt; 1 ), _Pago_Proyectado _Anterior, SUM(_Componentes_Pago_Proyectado _Actual))</f>
        <v>0</v>
      </c>
      <c r="AY75" s="335">
        <f t="shared" ca="1" si="21"/>
        <v>0</v>
      </c>
      <c r="AZ75" s="335">
        <f t="shared" ca="1" si="22"/>
        <v>0</v>
      </c>
      <c r="BB75" s="20">
        <f t="shared" ca="1" si="45"/>
        <v>0</v>
      </c>
      <c r="BC75" s="309">
        <f t="shared" si="46"/>
        <v>30</v>
      </c>
      <c r="BD75" s="20">
        <f t="shared" ca="1" si="47"/>
        <v>0</v>
      </c>
      <c r="BE75" s="97">
        <f t="shared" ca="1" si="48"/>
        <v>0</v>
      </c>
      <c r="BF75" s="14"/>
      <c r="BG75" s="14"/>
      <c r="BI75" s="44"/>
      <c r="BJ75" s="102"/>
      <c r="BK75" s="32"/>
      <c r="BL75" s="32"/>
      <c r="BR75" s="14"/>
      <c r="BS75" s="14"/>
      <c r="BT75" s="14"/>
      <c r="BU75" s="14"/>
      <c r="BV75" s="14"/>
      <c r="BY75" s="14"/>
      <c r="BZ75" s="14"/>
      <c r="CA75" s="14"/>
    </row>
    <row r="76" spans="2:79">
      <c r="B76" s="32"/>
      <c r="C76" s="32"/>
      <c r="J76" s="14">
        <v>57</v>
      </c>
      <c r="L76" s="97">
        <f ca="1">MAX( _Saldo_Final _Anterior + _Saldo_Ciclico,0)</f>
        <v>0</v>
      </c>
      <c r="M76" s="97">
        <f ca="1">MIN( CHOOSE(Opcion.Abono, _Capital_Opcion_1, _Capital_Opcion_2, _Capital_Opcion_3) _Actual, _Saldo_Inicial _Actual)</f>
        <v>0</v>
      </c>
      <c r="N76" s="97">
        <f t="shared" ca="1" si="27"/>
        <v>0</v>
      </c>
      <c r="O76" s="309">
        <f ca="1">MAX( _Capital_Elegida _Actual, _Stopper_Capital _Actual)</f>
        <v>0</v>
      </c>
      <c r="P76" s="118">
        <f t="shared" ca="1" si="28"/>
        <v>0</v>
      </c>
      <c r="Q76" s="118">
        <f t="shared" ca="1" si="2"/>
        <v>0</v>
      </c>
      <c r="R76" s="309">
        <f>Fechas!_Dias_Interes_Pago</f>
        <v>30</v>
      </c>
      <c r="S76" s="20">
        <f t="shared" ca="1" si="29"/>
        <v>0</v>
      </c>
      <c r="T76" s="20">
        <f t="shared" ca="1" si="30"/>
        <v>0</v>
      </c>
      <c r="U76" s="20">
        <f t="shared" ca="1" si="31"/>
        <v>0</v>
      </c>
      <c r="V76" s="310">
        <f ca="1">T_Merger!_Salida_Abono_2</f>
        <v>0</v>
      </c>
      <c r="W76" s="20">
        <f t="shared" ca="1" si="32"/>
        <v>0</v>
      </c>
      <c r="X76"/>
      <c r="Y76" s="276">
        <v>0</v>
      </c>
      <c r="Z76" s="20">
        <f t="shared" ca="1" si="33"/>
        <v>0</v>
      </c>
      <c r="AA76" s="20">
        <f ca="1">_Abono_Sobrante + IF(_Ciclicas = 1, 0, _Sobrante_Acumulado_x_Ciclo _Anterior)</f>
        <v>0</v>
      </c>
      <c r="AB76" s="20">
        <f ca="1">IF(AND(_Ciclicas=1, _Ciclo&gt;1),  _Sobrante_Acumulado_x_Ciclo _Anterior,0)</f>
        <v>0</v>
      </c>
      <c r="AD76" s="14">
        <f t="shared" ca="1" si="34"/>
        <v>0</v>
      </c>
      <c r="AE76" s="14">
        <f t="shared" ca="1" si="35"/>
        <v>9</v>
      </c>
      <c r="AF76" s="14">
        <f t="shared" ca="1" si="36"/>
        <v>4</v>
      </c>
      <c r="AG76" s="14">
        <f ca="1">MIN(_Ciclicas_Remanentes _Actual, _Remanentes _Actual)</f>
        <v>0</v>
      </c>
      <c r="AH76" s="32">
        <f t="shared" ca="1" si="37"/>
        <v>5</v>
      </c>
      <c r="AJ76" s="20">
        <f t="shared" ca="1" si="12"/>
        <v>0</v>
      </c>
      <c r="AK76" s="97">
        <f t="shared" ca="1" si="38"/>
        <v>0</v>
      </c>
      <c r="AM76" s="97">
        <f ca="1">MAX( _Saldo_Final_Original _Anterior + _Saldo_Ciclico, 0)</f>
        <v>0</v>
      </c>
      <c r="AN76" s="20">
        <f t="shared" ca="1" si="39"/>
        <v>0</v>
      </c>
      <c r="AO76" s="20">
        <f t="shared" ca="1" si="15"/>
        <v>0</v>
      </c>
      <c r="AP76" s="20">
        <f t="shared" ca="1" si="40"/>
        <v>0</v>
      </c>
      <c r="AQ76" s="20">
        <f t="shared" ca="1" si="41"/>
        <v>0</v>
      </c>
      <c r="AR76" s="335">
        <f ca="1">MAX( ((( _Pago_Fijo - (_Interes_Regular_Original * (1 + Iva.Intereses)) ))), _Stopper_Capital_Original _Actual )</f>
        <v>0</v>
      </c>
      <c r="AS76" s="97">
        <f ca="1">MAX(_Saldo_Inicial_Original _Actual - _Capital_Original _Actual, 0)</f>
        <v>0</v>
      </c>
      <c r="AT76"/>
      <c r="AU76" s="20">
        <f t="shared" ca="1" si="42"/>
        <v>0</v>
      </c>
      <c r="AV76" s="20">
        <f t="shared" ca="1" si="43"/>
        <v>0</v>
      </c>
      <c r="AW76" s="20">
        <f t="shared" ca="1" si="44"/>
        <v>0</v>
      </c>
      <c r="AX76" s="97">
        <f ca="1">IF( AND(_Abono_Anticipado _Anterior = 0, _Ciclicas &lt;&gt; 1 ), _Pago_Proyectado _Anterior, SUM(_Componentes_Pago_Proyectado _Actual))</f>
        <v>0</v>
      </c>
      <c r="AY76" s="335">
        <f t="shared" ca="1" si="21"/>
        <v>0</v>
      </c>
      <c r="AZ76" s="335">
        <f t="shared" ca="1" si="22"/>
        <v>0</v>
      </c>
      <c r="BB76" s="20">
        <f t="shared" ca="1" si="45"/>
        <v>0</v>
      </c>
      <c r="BC76" s="309">
        <f t="shared" si="46"/>
        <v>30</v>
      </c>
      <c r="BD76" s="20">
        <f t="shared" ca="1" si="47"/>
        <v>0</v>
      </c>
      <c r="BE76" s="97">
        <f t="shared" ca="1" si="48"/>
        <v>0</v>
      </c>
      <c r="BF76" s="14"/>
      <c r="BG76" s="14"/>
      <c r="BI76" s="44"/>
      <c r="BJ76" s="102"/>
      <c r="BK76" s="32"/>
      <c r="BL76" s="32"/>
      <c r="BR76" s="14"/>
      <c r="BS76" s="14"/>
      <c r="BT76" s="14"/>
      <c r="BU76" s="14"/>
      <c r="BV76" s="14"/>
      <c r="BY76" s="14"/>
      <c r="BZ76" s="14"/>
      <c r="CA76" s="14"/>
    </row>
    <row r="77" spans="2:79">
      <c r="B77" s="32"/>
      <c r="C77" s="32"/>
      <c r="J77" s="14">
        <v>58</v>
      </c>
      <c r="L77" s="97">
        <f ca="1">MAX( _Saldo_Final _Anterior + _Saldo_Ciclico,0)</f>
        <v>0</v>
      </c>
      <c r="M77" s="97">
        <f ca="1">MIN( CHOOSE(Opcion.Abono, _Capital_Opcion_1, _Capital_Opcion_2, _Capital_Opcion_3) _Actual, _Saldo_Inicial _Actual)</f>
        <v>0</v>
      </c>
      <c r="N77" s="97">
        <f t="shared" ca="1" si="27"/>
        <v>0</v>
      </c>
      <c r="O77" s="309">
        <f ca="1">MAX( _Capital_Elegida _Actual, _Stopper_Capital _Actual)</f>
        <v>0</v>
      </c>
      <c r="P77" s="118">
        <f t="shared" ca="1" si="28"/>
        <v>0</v>
      </c>
      <c r="Q77" s="118">
        <f t="shared" ca="1" si="2"/>
        <v>0</v>
      </c>
      <c r="R77" s="309">
        <f>Fechas!_Dias_Interes_Pago</f>
        <v>30</v>
      </c>
      <c r="S77" s="20">
        <f t="shared" ca="1" si="29"/>
        <v>0</v>
      </c>
      <c r="T77" s="20">
        <f t="shared" ca="1" si="30"/>
        <v>0</v>
      </c>
      <c r="U77" s="20">
        <f t="shared" ca="1" si="31"/>
        <v>0</v>
      </c>
      <c r="V77" s="310">
        <f ca="1">T_Merger!_Salida_Abono_2</f>
        <v>0</v>
      </c>
      <c r="W77" s="20">
        <f t="shared" ca="1" si="32"/>
        <v>0</v>
      </c>
      <c r="X77"/>
      <c r="Y77" s="276">
        <v>0</v>
      </c>
      <c r="Z77" s="20">
        <f t="shared" ca="1" si="33"/>
        <v>0</v>
      </c>
      <c r="AA77" s="20">
        <f ca="1">_Abono_Sobrante + IF(_Ciclicas = 1, 0, _Sobrante_Acumulado_x_Ciclo _Anterior)</f>
        <v>0</v>
      </c>
      <c r="AB77" s="20">
        <f ca="1">IF(AND(_Ciclicas=1, _Ciclo&gt;1),  _Sobrante_Acumulado_x_Ciclo _Anterior,0)</f>
        <v>0</v>
      </c>
      <c r="AD77" s="14">
        <f t="shared" ca="1" si="34"/>
        <v>0</v>
      </c>
      <c r="AE77" s="14">
        <f t="shared" ca="1" si="35"/>
        <v>10</v>
      </c>
      <c r="AF77" s="14">
        <f t="shared" ca="1" si="36"/>
        <v>3</v>
      </c>
      <c r="AG77" s="14">
        <f ca="1">MIN(_Ciclicas_Remanentes _Actual, _Remanentes _Actual)</f>
        <v>0</v>
      </c>
      <c r="AH77" s="32">
        <f t="shared" ca="1" si="37"/>
        <v>5</v>
      </c>
      <c r="AJ77" s="20">
        <f t="shared" ca="1" si="12"/>
        <v>0</v>
      </c>
      <c r="AK77" s="97">
        <f t="shared" ca="1" si="38"/>
        <v>0</v>
      </c>
      <c r="AM77" s="97">
        <f ca="1">MAX( _Saldo_Final_Original _Anterior + _Saldo_Ciclico, 0)</f>
        <v>0</v>
      </c>
      <c r="AN77" s="20">
        <f t="shared" ca="1" si="39"/>
        <v>0</v>
      </c>
      <c r="AO77" s="20">
        <f t="shared" ca="1" si="15"/>
        <v>0</v>
      </c>
      <c r="AP77" s="20">
        <f t="shared" ca="1" si="40"/>
        <v>0</v>
      </c>
      <c r="AQ77" s="20">
        <f t="shared" ca="1" si="41"/>
        <v>0</v>
      </c>
      <c r="AR77" s="335">
        <f ca="1">MAX( ((( _Pago_Fijo - (_Interes_Regular_Original * (1 + Iva.Intereses)) ))), _Stopper_Capital_Original _Actual )</f>
        <v>0</v>
      </c>
      <c r="AS77" s="97">
        <f ca="1">MAX(_Saldo_Inicial_Original _Actual - _Capital_Original _Actual, 0)</f>
        <v>0</v>
      </c>
      <c r="AT77"/>
      <c r="AU77" s="20">
        <f t="shared" ca="1" si="42"/>
        <v>0</v>
      </c>
      <c r="AV77" s="20">
        <f t="shared" ca="1" si="43"/>
        <v>0</v>
      </c>
      <c r="AW77" s="20">
        <f t="shared" ca="1" si="44"/>
        <v>0</v>
      </c>
      <c r="AX77" s="97">
        <f ca="1">IF( AND(_Abono_Anticipado _Anterior = 0, _Ciclicas &lt;&gt; 1 ), _Pago_Proyectado _Anterior, SUM(_Componentes_Pago_Proyectado _Actual))</f>
        <v>0</v>
      </c>
      <c r="AY77" s="335">
        <f t="shared" ca="1" si="21"/>
        <v>0</v>
      </c>
      <c r="AZ77" s="335">
        <f t="shared" ca="1" si="22"/>
        <v>0</v>
      </c>
      <c r="BB77" s="20">
        <f t="shared" ca="1" si="45"/>
        <v>0</v>
      </c>
      <c r="BC77" s="309">
        <f t="shared" si="46"/>
        <v>30</v>
      </c>
      <c r="BD77" s="20">
        <f t="shared" ca="1" si="47"/>
        <v>0</v>
      </c>
      <c r="BE77" s="97">
        <f t="shared" ca="1" si="48"/>
        <v>0</v>
      </c>
      <c r="BF77" s="14"/>
      <c r="BG77" s="14"/>
      <c r="BI77" s="44"/>
      <c r="BJ77" s="102"/>
      <c r="BK77" s="32"/>
      <c r="BL77" s="32"/>
      <c r="BR77" s="14"/>
      <c r="BS77" s="14"/>
      <c r="BT77" s="14"/>
      <c r="BU77" s="14"/>
      <c r="BV77" s="14"/>
      <c r="BY77" s="14"/>
      <c r="BZ77" s="14"/>
      <c r="CA77" s="14"/>
    </row>
    <row r="78" spans="2:79">
      <c r="B78" s="32"/>
      <c r="C78" s="32"/>
      <c r="J78" s="14">
        <v>59</v>
      </c>
      <c r="L78" s="97">
        <f ca="1">MAX( _Saldo_Final _Anterior + _Saldo_Ciclico,0)</f>
        <v>0</v>
      </c>
      <c r="M78" s="97">
        <f ca="1">MIN( CHOOSE(Opcion.Abono, _Capital_Opcion_1, _Capital_Opcion_2, _Capital_Opcion_3) _Actual, _Saldo_Inicial _Actual)</f>
        <v>0</v>
      </c>
      <c r="N78" s="97">
        <f t="shared" ca="1" si="27"/>
        <v>0</v>
      </c>
      <c r="O78" s="309">
        <f ca="1">MAX( _Capital_Elegida _Actual, _Stopper_Capital _Actual)</f>
        <v>0</v>
      </c>
      <c r="P78" s="118">
        <f t="shared" ca="1" si="28"/>
        <v>0</v>
      </c>
      <c r="Q78" s="118">
        <f t="shared" ca="1" si="2"/>
        <v>0</v>
      </c>
      <c r="R78" s="309">
        <f>Fechas!_Dias_Interes_Pago</f>
        <v>30</v>
      </c>
      <c r="S78" s="20">
        <f t="shared" ca="1" si="29"/>
        <v>0</v>
      </c>
      <c r="T78" s="20">
        <f t="shared" ca="1" si="30"/>
        <v>0</v>
      </c>
      <c r="U78" s="20">
        <f t="shared" ca="1" si="31"/>
        <v>0</v>
      </c>
      <c r="V78" s="310">
        <f ca="1">T_Merger!_Salida_Abono_2</f>
        <v>0</v>
      </c>
      <c r="W78" s="20">
        <f t="shared" ca="1" si="32"/>
        <v>0</v>
      </c>
      <c r="X78"/>
      <c r="Y78" s="276">
        <v>0</v>
      </c>
      <c r="Z78" s="20">
        <f t="shared" ca="1" si="33"/>
        <v>0</v>
      </c>
      <c r="AA78" s="20">
        <f ca="1">_Abono_Sobrante + IF(_Ciclicas = 1, 0, _Sobrante_Acumulado_x_Ciclo _Anterior)</f>
        <v>0</v>
      </c>
      <c r="AB78" s="20">
        <f ca="1">IF(AND(_Ciclicas=1, _Ciclo&gt;1),  _Sobrante_Acumulado_x_Ciclo _Anterior,0)</f>
        <v>0</v>
      </c>
      <c r="AD78" s="14">
        <f t="shared" ca="1" si="34"/>
        <v>0</v>
      </c>
      <c r="AE78" s="14">
        <f t="shared" ca="1" si="35"/>
        <v>11</v>
      </c>
      <c r="AF78" s="14">
        <f t="shared" ca="1" si="36"/>
        <v>2</v>
      </c>
      <c r="AG78" s="14">
        <f ca="1">MIN(_Ciclicas_Remanentes _Actual, _Remanentes _Actual)</f>
        <v>0</v>
      </c>
      <c r="AH78" s="32">
        <f t="shared" ca="1" si="37"/>
        <v>5</v>
      </c>
      <c r="AJ78" s="20">
        <f t="shared" ca="1" si="12"/>
        <v>0</v>
      </c>
      <c r="AK78" s="97">
        <f t="shared" ca="1" si="38"/>
        <v>0</v>
      </c>
      <c r="AM78" s="97">
        <f ca="1">MAX( _Saldo_Final_Original _Anterior + _Saldo_Ciclico, 0)</f>
        <v>0</v>
      </c>
      <c r="AN78" s="20">
        <f t="shared" ca="1" si="39"/>
        <v>0</v>
      </c>
      <c r="AO78" s="20">
        <f t="shared" ca="1" si="15"/>
        <v>0</v>
      </c>
      <c r="AP78" s="20">
        <f t="shared" ca="1" si="40"/>
        <v>0</v>
      </c>
      <c r="AQ78" s="20">
        <f t="shared" ca="1" si="41"/>
        <v>0</v>
      </c>
      <c r="AR78" s="335">
        <f ca="1">MAX( ((( _Pago_Fijo - (_Interes_Regular_Original * (1 + Iva.Intereses)) ))), _Stopper_Capital_Original _Actual )</f>
        <v>0</v>
      </c>
      <c r="AS78" s="97">
        <f ca="1">MAX(_Saldo_Inicial_Original _Actual - _Capital_Original _Actual, 0)</f>
        <v>0</v>
      </c>
      <c r="AT78"/>
      <c r="AU78" s="20">
        <f t="shared" ca="1" si="42"/>
        <v>0</v>
      </c>
      <c r="AV78" s="20">
        <f t="shared" ca="1" si="43"/>
        <v>0</v>
      </c>
      <c r="AW78" s="20">
        <f t="shared" ca="1" si="44"/>
        <v>0</v>
      </c>
      <c r="AX78" s="97">
        <f ca="1">IF( AND(_Abono_Anticipado _Anterior = 0, _Ciclicas &lt;&gt; 1 ), _Pago_Proyectado _Anterior, SUM(_Componentes_Pago_Proyectado _Actual))</f>
        <v>0</v>
      </c>
      <c r="AY78" s="335">
        <f t="shared" ca="1" si="21"/>
        <v>0</v>
      </c>
      <c r="AZ78" s="335">
        <f t="shared" ca="1" si="22"/>
        <v>0</v>
      </c>
      <c r="BB78" s="20">
        <f t="shared" ca="1" si="45"/>
        <v>0</v>
      </c>
      <c r="BC78" s="309">
        <f t="shared" si="46"/>
        <v>30</v>
      </c>
      <c r="BD78" s="20">
        <f t="shared" ca="1" si="47"/>
        <v>0</v>
      </c>
      <c r="BE78" s="97">
        <f t="shared" ca="1" si="48"/>
        <v>0</v>
      </c>
      <c r="BF78" s="14"/>
      <c r="BG78" s="14"/>
      <c r="BI78" s="44"/>
      <c r="BJ78" s="102"/>
      <c r="BK78" s="32"/>
      <c r="BL78" s="32"/>
      <c r="BR78" s="14"/>
      <c r="BS78" s="14"/>
      <c r="BT78" s="14"/>
      <c r="BU78" s="14"/>
      <c r="BV78" s="14"/>
      <c r="BY78" s="14"/>
      <c r="BZ78" s="14"/>
      <c r="CA78" s="14"/>
    </row>
    <row r="79" spans="2:79">
      <c r="B79" s="32"/>
      <c r="C79" s="32"/>
      <c r="J79" s="14">
        <v>60</v>
      </c>
      <c r="L79" s="97">
        <f ca="1">MAX( _Saldo_Final _Anterior + _Saldo_Ciclico,0)</f>
        <v>0</v>
      </c>
      <c r="M79" s="97">
        <f ca="1">MIN( CHOOSE(Opcion.Abono, _Capital_Opcion_1, _Capital_Opcion_2, _Capital_Opcion_3) _Actual, _Saldo_Inicial _Actual)</f>
        <v>0</v>
      </c>
      <c r="N79" s="97">
        <f ca="1">_Saldo_Inicial * ( _Amortizacion = Numero.Pagos )</f>
        <v>0</v>
      </c>
      <c r="O79" s="309">
        <f ca="1">MAX( _Capital_Elegida _Actual, _Stopper_Capital _Actual)</f>
        <v>0</v>
      </c>
      <c r="P79" s="118">
        <f ca="1">_Saldo_Inicial * Tasa.Diaria</f>
        <v>0</v>
      </c>
      <c r="Q79" s="118">
        <f ca="1" xml:space="preserve"> _Interes_Diario * Dias.Por.Periodo</f>
        <v>0</v>
      </c>
      <c r="R79" s="309">
        <f>Fechas!_Dias_Interes_Pago</f>
        <v>30</v>
      </c>
      <c r="S79" s="20">
        <f ca="1">_Interes_Diario * _Dias_Interes_Periodo</f>
        <v>0</v>
      </c>
      <c r="T79" s="20">
        <f ca="1">_Interes *Iva.Intereses</f>
        <v>0</v>
      </c>
      <c r="U79" s="20">
        <f ca="1">_Capital + _Interes + _Iva</f>
        <v>0</v>
      </c>
      <c r="V79" s="310">
        <f ca="1">T_Merger!_Salida_Abono_2</f>
        <v>0</v>
      </c>
      <c r="W79" s="20">
        <f ca="1">MAX( _Saldo_Inicial - _Capital-_Abono_Anticipado,0)</f>
        <v>0</v>
      </c>
      <c r="X79"/>
      <c r="Y79" s="277">
        <v>0</v>
      </c>
      <c r="Z79" s="20">
        <f ca="1">-MIN( _Saldo_Inicial - _Capital - _Abono_Anticipado, 0 )</f>
        <v>0</v>
      </c>
      <c r="AA79" s="20">
        <f ca="1">_Abono_Sobrante + IF(_Ciclicas = 1, 0, _Sobrante_Acumulado_x_Ciclo _Anterior)</f>
        <v>0</v>
      </c>
      <c r="AB79" s="20">
        <f ca="1">IF(AND(_Ciclicas=1, _Ciclo&gt;1),  _Sobrante_Acumulado_x_Ciclo _Anterior,0)</f>
        <v>0</v>
      </c>
      <c r="AD79" s="14">
        <f ca="1">MAX( Numero.Pagos - _Amortizacion + 1, 0 )</f>
        <v>0</v>
      </c>
      <c r="AE79" s="14">
        <f ca="1">MOD( _Amortizacion - 1, Periodos.Por.Ciclo ) + 1</f>
        <v>12</v>
      </c>
      <c r="AF79" s="14">
        <f ca="1" xml:space="preserve"> Periodos.Por.Ciclo - _Ciclicas + 1</f>
        <v>1</v>
      </c>
      <c r="AG79" s="14">
        <f ca="1">MIN(_Ciclicas_Remanentes _Actual, _Remanentes _Actual)</f>
        <v>0</v>
      </c>
      <c r="AH79" s="32">
        <f ca="1">INT(( _Amortizacion - 1 ) / Periodos.Por.Ciclo ) + 1</f>
        <v>5</v>
      </c>
      <c r="AJ79" s="20">
        <f ca="1">( ( Monto.Financiar + ( Monto.Extra.Ciclo.1 * ( _Ciclo = 1 ) ) ) * ( _Ciclicas = 1 )) * ( _Amortizacion &lt;= Numero.Pagos )</f>
        <v>0</v>
      </c>
      <c r="AK79" s="97">
        <f ca="1" xml:space="preserve"> ( Pago.Fijo + ( Pago.Extra.Ciclo.1 * ( _Ciclo = 1 ) ) ) * ( _Amortizacion &lt;= Numero.Pagos )</f>
        <v>0</v>
      </c>
      <c r="AM79" s="97">
        <f ca="1">MAX( _Saldo_Final_Original _Anterior + _Saldo_Ciclico, 0)</f>
        <v>0</v>
      </c>
      <c r="AN79" s="20">
        <f ca="1">_Saldo_Inicial_Original * Tasa.Diaria</f>
        <v>0</v>
      </c>
      <c r="AO79" s="20">
        <f ca="1">_Interes_Diario_Original * Dias.Por.Periodo</f>
        <v>0</v>
      </c>
      <c r="AP79" s="20">
        <f ca="1">_Interes_Diario_Original * _Dias_Interes_Periodo</f>
        <v>0</v>
      </c>
      <c r="AQ79" s="20">
        <f ca="1">_Saldo_Inicial_Original * ( _Amortizacion = Numero.Pagos )</f>
        <v>0</v>
      </c>
      <c r="AR79" s="335">
        <f ca="1">MAX( ((( _Pago_Fijo - (_Interes_Regular_Original * (1 + Iva.Intereses)) ))), _Stopper_Capital_Original _Actual )</f>
        <v>0</v>
      </c>
      <c r="AS79" s="97">
        <f ca="1">MAX(_Saldo_Inicial_Original _Actual - _Capital_Original _Actual, 0)</f>
        <v>0</v>
      </c>
      <c r="AT79"/>
      <c r="AU79" s="20">
        <f ca="1" xml:space="preserve"> _Capital_Original</f>
        <v>0</v>
      </c>
      <c r="AV79" s="20">
        <f ca="1">-PPMT(Tasa.Por.Periodo*(1+Iva.Intereses),1,_Ciclicas_Remanentes,_Saldo_Inicial)</f>
        <v>0</v>
      </c>
      <c r="AW79" s="20">
        <f ca="1">-IPMT(Tasa.Diaria.Por.Periodo*(1+Iva.Intereses),1,_Ciclicas_Remanentes,_Saldo_Inicial)</f>
        <v>0</v>
      </c>
      <c r="AX79" s="97">
        <f ca="1">IF( AND(_Abono_Anticipado _Anterior = 0, _Ciclicas &lt;&gt; 1 ), _Pago_Proyectado _Anterior, SUM(_Componentes_Pago_Proyectado _Actual))</f>
        <v>0</v>
      </c>
      <c r="AY79" s="335">
        <f ca="1">_Pago_Proyectado - ( _Interes_Periodo_Regular * ( 1 + Iva.Intereses ) )</f>
        <v>0</v>
      </c>
      <c r="AZ79" s="335">
        <f ca="1">_Pago_Fijo - ( _Interes_Periodo_Regular * ( 1 + Iva.Intereses ) )</f>
        <v>0</v>
      </c>
      <c r="BB79" s="20">
        <f ca="1">_Interes_Diario_Original</f>
        <v>0</v>
      </c>
      <c r="BC79" s="309">
        <f t="shared" si="46"/>
        <v>30</v>
      </c>
      <c r="BD79" s="20">
        <f ca="1">_Interes_Diario_CAT * _Dias_Interes_CAT</f>
        <v>0</v>
      </c>
      <c r="BE79" s="97">
        <f ca="1">( _Capital_Original + _Interes_CAT - _Saldo_Ciclico)  * (_Amortizacion &lt;= Numero.Pagos)</f>
        <v>0</v>
      </c>
      <c r="BF79" s="14"/>
      <c r="BG79" s="14"/>
      <c r="BI79" s="44"/>
      <c r="BJ79" s="102"/>
      <c r="BK79" s="32"/>
      <c r="BL79" s="32"/>
      <c r="BR79" s="14"/>
      <c r="BS79" s="14"/>
      <c r="BT79" s="14"/>
      <c r="BU79" s="14"/>
      <c r="BV79" s="14"/>
      <c r="BY79" s="14"/>
      <c r="BZ79" s="14"/>
      <c r="CA79" s="14"/>
    </row>
    <row r="80" spans="2:79">
      <c r="B80" s="32"/>
      <c r="C80" s="32"/>
      <c r="BG80" s="14"/>
      <c r="BI80" s="44"/>
      <c r="BJ80" s="102"/>
      <c r="BK80" s="32"/>
      <c r="BL80" s="32"/>
    </row>
    <row r="81" spans="2:64">
      <c r="B81" s="32"/>
      <c r="C81" s="32"/>
      <c r="BG81" s="14"/>
      <c r="BI81" s="44"/>
      <c r="BJ81" s="102"/>
      <c r="BK81" s="32"/>
      <c r="BL81" s="32"/>
    </row>
    <row r="82" spans="2:64">
      <c r="B82" s="32"/>
      <c r="C82" s="32"/>
      <c r="BG82" s="14"/>
      <c r="BI82" s="44"/>
      <c r="BJ82" s="102"/>
      <c r="BK82" s="32"/>
      <c r="BL82" s="32"/>
    </row>
    <row r="83" spans="2:64">
      <c r="B83" s="32"/>
      <c r="C83" s="32"/>
      <c r="BG83" s="14"/>
      <c r="BI83" s="44"/>
      <c r="BJ83" s="102"/>
      <c r="BK83" s="32"/>
      <c r="BL83" s="32"/>
    </row>
    <row r="84" spans="2:64">
      <c r="B84" s="32"/>
      <c r="C84" s="32"/>
      <c r="BG84" s="14"/>
      <c r="BI84" s="44"/>
      <c r="BJ84" s="102"/>
      <c r="BK84" s="32"/>
      <c r="BL84" s="32"/>
    </row>
    <row r="85" spans="2:64">
      <c r="B85" s="32"/>
      <c r="C85" s="32"/>
      <c r="BG85" s="14"/>
      <c r="BI85" s="44"/>
      <c r="BJ85" s="102"/>
      <c r="BK85" s="32"/>
      <c r="BL85" s="32"/>
    </row>
    <row r="86" spans="2:64">
      <c r="B86" s="32"/>
      <c r="C86" s="32"/>
      <c r="BG86" s="14"/>
      <c r="BI86" s="44"/>
      <c r="BJ86" s="102"/>
      <c r="BK86" s="32"/>
      <c r="BL86" s="32"/>
    </row>
    <row r="87" spans="2:64">
      <c r="B87" s="32"/>
      <c r="C87" s="32"/>
      <c r="BG87" s="14"/>
      <c r="BI87" s="44"/>
      <c r="BJ87" s="102"/>
      <c r="BK87" s="32"/>
      <c r="BL87" s="32"/>
    </row>
    <row r="88" spans="2:64">
      <c r="B88" s="32"/>
      <c r="C88" s="32"/>
      <c r="BG88" s="14"/>
      <c r="BI88" s="44"/>
      <c r="BJ88" s="102"/>
      <c r="BK88" s="32"/>
      <c r="BL88" s="32"/>
    </row>
    <row r="89" spans="2:64">
      <c r="B89" s="32"/>
      <c r="C89" s="32"/>
      <c r="BG89" s="14"/>
      <c r="BI89" s="44"/>
      <c r="BJ89" s="102"/>
      <c r="BK89" s="32"/>
      <c r="BL89" s="32"/>
    </row>
    <row r="90" spans="2:64">
      <c r="B90" s="32"/>
      <c r="C90" s="32"/>
      <c r="BG90" s="14"/>
      <c r="BI90" s="44"/>
      <c r="BJ90" s="102"/>
      <c r="BK90" s="32"/>
      <c r="BL90" s="32"/>
    </row>
    <row r="91" spans="2:64">
      <c r="B91" s="32"/>
      <c r="C91" s="32"/>
      <c r="BG91" s="14"/>
      <c r="BI91" s="44"/>
      <c r="BJ91" s="102"/>
      <c r="BK91" s="32"/>
      <c r="BL91" s="32"/>
    </row>
    <row r="92" spans="2:64">
      <c r="B92" s="32"/>
      <c r="C92" s="32"/>
      <c r="BG92" s="14"/>
      <c r="BK92" s="32"/>
      <c r="BL92" s="32"/>
    </row>
    <row r="93" spans="2:64">
      <c r="B93" s="32"/>
      <c r="C93" s="32"/>
      <c r="BG93" s="14"/>
      <c r="BK93" s="32"/>
      <c r="BL93" s="32"/>
    </row>
    <row r="94" spans="2:64">
      <c r="B94" s="32"/>
      <c r="C94" s="32"/>
      <c r="BG94" s="14"/>
    </row>
    <row r="95" spans="2:64">
      <c r="B95" s="32"/>
      <c r="C95" s="32"/>
      <c r="BG95" s="14"/>
    </row>
    <row r="96" spans="2:64">
      <c r="B96" s="32"/>
      <c r="C96" s="32"/>
      <c r="BG96" s="14"/>
    </row>
    <row r="97" spans="2:59">
      <c r="B97" s="32"/>
      <c r="C97" s="32"/>
      <c r="BG97" s="14"/>
    </row>
    <row r="98" spans="2:59">
      <c r="B98" s="32"/>
      <c r="C98" s="32"/>
      <c r="BG98" s="14"/>
    </row>
    <row r="99" spans="2:59">
      <c r="C99" s="32"/>
      <c r="BG99" s="14"/>
    </row>
    <row r="100" spans="2:59">
      <c r="C100" s="32"/>
      <c r="BG100" s="14"/>
    </row>
    <row r="101" spans="2:59">
      <c r="C101" s="32"/>
      <c r="BG101" s="14"/>
    </row>
    <row r="102" spans="2:59">
      <c r="B102" s="32"/>
      <c r="C102" s="32"/>
      <c r="BG102" s="14"/>
    </row>
    <row r="103" spans="2:59">
      <c r="B103" s="32"/>
      <c r="C103" s="32"/>
      <c r="BG103" s="14"/>
    </row>
    <row r="104" spans="2:59">
      <c r="B104" s="32"/>
      <c r="C104" s="32"/>
      <c r="BG104" s="14"/>
    </row>
    <row r="105" spans="2:59">
      <c r="B105" s="32"/>
      <c r="C105" s="32"/>
      <c r="BG105" s="14"/>
    </row>
    <row r="106" spans="2:59">
      <c r="B106" s="32"/>
      <c r="C106" s="32"/>
      <c r="BG106" s="14"/>
    </row>
    <row r="107" spans="2:59">
      <c r="B107" s="32"/>
      <c r="C107" s="32"/>
      <c r="BG107" s="14"/>
    </row>
    <row r="108" spans="2:59">
      <c r="BG108" s="14"/>
    </row>
    <row r="109" spans="2:59">
      <c r="BG109" s="14"/>
    </row>
    <row r="110" spans="2:59">
      <c r="BG110" s="14"/>
    </row>
    <row r="111" spans="2:59">
      <c r="BG111" s="14"/>
    </row>
    <row r="112" spans="2:59">
      <c r="BG112" s="14"/>
    </row>
    <row r="113" spans="59:59">
      <c r="BG113" s="14"/>
    </row>
    <row r="114" spans="59:59">
      <c r="BG114" s="14"/>
    </row>
    <row r="115" spans="59:59">
      <c r="BG115" s="14"/>
    </row>
    <row r="116" spans="59:59">
      <c r="BG116" s="116"/>
    </row>
    <row r="117" spans="59:59">
      <c r="BG117" s="14"/>
    </row>
    <row r="118" spans="59:59">
      <c r="BG118" s="14"/>
    </row>
    <row r="119" spans="59:59">
      <c r="BG119" s="14"/>
    </row>
    <row r="120" spans="59:59">
      <c r="BG120" s="14"/>
    </row>
    <row r="121" spans="59:59">
      <c r="BG121" s="14"/>
    </row>
    <row r="122" spans="59:59">
      <c r="BG122" s="14"/>
    </row>
    <row r="123" spans="59:59">
      <c r="BG123" s="14"/>
    </row>
    <row r="124" spans="59:59">
      <c r="BG124" s="14"/>
    </row>
    <row r="125" spans="59:59">
      <c r="BG125" s="14"/>
    </row>
    <row r="126" spans="59:59">
      <c r="BG126" s="14"/>
    </row>
    <row r="127" spans="59:59">
      <c r="BG127" s="14"/>
    </row>
    <row r="128" spans="59:59">
      <c r="BG128" s="14"/>
    </row>
    <row r="129" spans="59:59">
      <c r="BG129" s="14"/>
    </row>
    <row r="130" spans="59:59">
      <c r="BG130" s="14"/>
    </row>
    <row r="131" spans="59:59">
      <c r="BG131" s="14"/>
    </row>
    <row r="132" spans="59:59">
      <c r="BG132" s="14"/>
    </row>
    <row r="133" spans="59:59">
      <c r="BG133" s="14"/>
    </row>
    <row r="134" spans="59:59">
      <c r="BG134" s="14"/>
    </row>
    <row r="135" spans="59:59">
      <c r="BG135" s="14"/>
    </row>
    <row r="136" spans="59:59">
      <c r="BG136" s="14"/>
    </row>
    <row r="137" spans="59:59">
      <c r="BG137" s="14"/>
    </row>
    <row r="138" spans="59:59">
      <c r="BG138" s="14"/>
    </row>
    <row r="139" spans="59:59">
      <c r="BG139" s="14"/>
    </row>
    <row r="140" spans="59:59">
      <c r="BG140" s="14"/>
    </row>
    <row r="141" spans="59:59">
      <c r="BG141" s="14"/>
    </row>
    <row r="142" spans="59:59">
      <c r="BG142" s="14"/>
    </row>
    <row r="143" spans="59:59">
      <c r="BG143" s="14"/>
    </row>
    <row r="144" spans="59:59">
      <c r="BG144" s="14"/>
    </row>
    <row r="145" spans="59:59">
      <c r="BG145" s="14"/>
    </row>
    <row r="146" spans="59:59">
      <c r="BG146" s="14"/>
    </row>
    <row r="147" spans="59:59">
      <c r="BG147" s="14"/>
    </row>
    <row r="148" spans="59:59">
      <c r="BG148" s="14"/>
    </row>
    <row r="149" spans="59:59">
      <c r="BG149" s="14"/>
    </row>
    <row r="150" spans="59:59">
      <c r="BG150" s="14"/>
    </row>
    <row r="151" spans="59:59">
      <c r="BG151" s="14"/>
    </row>
    <row r="152" spans="59:59">
      <c r="BG152" s="14"/>
    </row>
    <row r="153" spans="59:59">
      <c r="BG153" s="14"/>
    </row>
    <row r="154" spans="59:59">
      <c r="BG154" s="14"/>
    </row>
    <row r="155" spans="59:59">
      <c r="BG155" s="14"/>
    </row>
    <row r="156" spans="59:59">
      <c r="BG156" s="14"/>
    </row>
    <row r="157" spans="59:59">
      <c r="BG157" s="14"/>
    </row>
    <row r="158" spans="59:59">
      <c r="BG158" s="14"/>
    </row>
    <row r="159" spans="59:59">
      <c r="BG159" s="14"/>
    </row>
    <row r="160" spans="59:59">
      <c r="BG160" s="14"/>
    </row>
    <row r="161" spans="59:59">
      <c r="BG161" s="14"/>
    </row>
    <row r="162" spans="59:59">
      <c r="BG162" s="14"/>
    </row>
    <row r="163" spans="59:59">
      <c r="BG163" s="14"/>
    </row>
    <row r="164" spans="59:59">
      <c r="BG164" s="14"/>
    </row>
    <row r="165" spans="59:59">
      <c r="BG165" s="14"/>
    </row>
    <row r="166" spans="59:59">
      <c r="BG166" s="14"/>
    </row>
    <row r="167" spans="59:59">
      <c r="BG167" s="14"/>
    </row>
    <row r="168" spans="59:59">
      <c r="BG168" s="14"/>
    </row>
    <row r="169" spans="59:59">
      <c r="BG169" s="14"/>
    </row>
    <row r="170" spans="59:59">
      <c r="BG170" s="14"/>
    </row>
    <row r="171" spans="59:59">
      <c r="BG171" s="14"/>
    </row>
    <row r="172" spans="59:59">
      <c r="BG172" s="14"/>
    </row>
    <row r="173" spans="59:59">
      <c r="BG173" s="14"/>
    </row>
    <row r="174" spans="59:59">
      <c r="BG174" s="14"/>
    </row>
    <row r="175" spans="59:59">
      <c r="BG175" s="14"/>
    </row>
    <row r="176" spans="59:59">
      <c r="BG176" s="14"/>
    </row>
    <row r="177" spans="59:59">
      <c r="BG177" s="14"/>
    </row>
    <row r="178" spans="59:59">
      <c r="BG178" s="14"/>
    </row>
    <row r="179" spans="59:59">
      <c r="BG179" s="14"/>
    </row>
    <row r="180" spans="59:59">
      <c r="BG180" s="14"/>
    </row>
    <row r="181" spans="59:59">
      <c r="BG181" s="14"/>
    </row>
    <row r="182" spans="59:59">
      <c r="BG182" s="14"/>
    </row>
    <row r="183" spans="59:59">
      <c r="BG183" s="14"/>
    </row>
    <row r="184" spans="59:59">
      <c r="BG184" s="14"/>
    </row>
    <row r="185" spans="59:59">
      <c r="BG185" s="14"/>
    </row>
    <row r="186" spans="59:59">
      <c r="BG186" s="14"/>
    </row>
    <row r="187" spans="59:59">
      <c r="BG187" s="14"/>
    </row>
    <row r="188" spans="59:59">
      <c r="BG188" s="116"/>
    </row>
    <row r="189" spans="59:59">
      <c r="BG189" s="14"/>
    </row>
    <row r="190" spans="59:59">
      <c r="BG190" s="14"/>
    </row>
    <row r="191" spans="59:59">
      <c r="BG191" s="14"/>
    </row>
    <row r="192" spans="59:59">
      <c r="BG192" s="14"/>
    </row>
    <row r="193" spans="59:59">
      <c r="BG193" s="14"/>
    </row>
    <row r="194" spans="59:59">
      <c r="BG194" s="14"/>
    </row>
    <row r="195" spans="59:59">
      <c r="BG195" s="14"/>
    </row>
    <row r="196" spans="59:59">
      <c r="BG196" s="14"/>
    </row>
    <row r="197" spans="59:59">
      <c r="BG197" s="14"/>
    </row>
    <row r="198" spans="59:59">
      <c r="BG198" s="14"/>
    </row>
    <row r="199" spans="59:59">
      <c r="BG199" s="14"/>
    </row>
    <row r="200" spans="59:59">
      <c r="BG200" s="14"/>
    </row>
    <row r="201" spans="59:59">
      <c r="BG201" s="14"/>
    </row>
    <row r="202" spans="59:59">
      <c r="BG202" s="14"/>
    </row>
    <row r="203" spans="59:59">
      <c r="BG203" s="14"/>
    </row>
    <row r="204" spans="59:59">
      <c r="BG204" s="14"/>
    </row>
    <row r="205" spans="59:59">
      <c r="BG205" s="14"/>
    </row>
    <row r="206" spans="59:59">
      <c r="BG206" s="14"/>
    </row>
    <row r="207" spans="59:59">
      <c r="BG207" s="14"/>
    </row>
    <row r="208" spans="59:59">
      <c r="BG208" s="14"/>
    </row>
    <row r="209" spans="59:59">
      <c r="BG209" s="14"/>
    </row>
    <row r="210" spans="59:59">
      <c r="BG210" s="14"/>
    </row>
    <row r="211" spans="59:59">
      <c r="BG211" s="14"/>
    </row>
    <row r="212" spans="59:59">
      <c r="BG212" s="14"/>
    </row>
    <row r="213" spans="59:59">
      <c r="BG213" s="14"/>
    </row>
    <row r="214" spans="59:59">
      <c r="BG214" s="14"/>
    </row>
    <row r="215" spans="59:59">
      <c r="BG215" s="14"/>
    </row>
    <row r="216" spans="59:59">
      <c r="BG216" s="14"/>
    </row>
    <row r="217" spans="59:59">
      <c r="BG217" s="14"/>
    </row>
    <row r="218" spans="59:59">
      <c r="BG218" s="14"/>
    </row>
    <row r="219" spans="59:59">
      <c r="BG219" s="14"/>
    </row>
    <row r="220" spans="59:59">
      <c r="BG220" s="14"/>
    </row>
    <row r="221" spans="59:59">
      <c r="BG221" s="14"/>
    </row>
    <row r="222" spans="59:59">
      <c r="BG222" s="14"/>
    </row>
    <row r="223" spans="59:59">
      <c r="BG223" s="14"/>
    </row>
    <row r="224" spans="59:59">
      <c r="BG224" s="14"/>
    </row>
    <row r="225" spans="59:59">
      <c r="BG225" s="14"/>
    </row>
    <row r="226" spans="59:59">
      <c r="BG226" s="14"/>
    </row>
    <row r="227" spans="59:59">
      <c r="BG227" s="14"/>
    </row>
    <row r="228" spans="59:59">
      <c r="BG228" s="14"/>
    </row>
    <row r="229" spans="59:59">
      <c r="BG229" s="14"/>
    </row>
    <row r="230" spans="59:59">
      <c r="BG230" s="14"/>
    </row>
    <row r="231" spans="59:59">
      <c r="BG231" s="14"/>
    </row>
    <row r="232" spans="59:59">
      <c r="BG232" s="14"/>
    </row>
    <row r="233" spans="59:59">
      <c r="BG233" s="14"/>
    </row>
    <row r="234" spans="59:59">
      <c r="BG234" s="14"/>
    </row>
    <row r="235" spans="59:59">
      <c r="BG235" s="14"/>
    </row>
    <row r="236" spans="59:59">
      <c r="BG236" s="14"/>
    </row>
    <row r="237" spans="59:59">
      <c r="BG237" s="14"/>
    </row>
    <row r="238" spans="59:59">
      <c r="BG238" s="14"/>
    </row>
    <row r="239" spans="59:59">
      <c r="BG239" s="14"/>
    </row>
    <row r="240" spans="59:59">
      <c r="BG240" s="14"/>
    </row>
    <row r="241" spans="59:59">
      <c r="BG241" s="14"/>
    </row>
    <row r="242" spans="59:59">
      <c r="BG242" s="14"/>
    </row>
    <row r="243" spans="59:59">
      <c r="BG243" s="14"/>
    </row>
    <row r="244" spans="59:59">
      <c r="BG244" s="14"/>
    </row>
    <row r="245" spans="59:59">
      <c r="BG245" s="14"/>
    </row>
    <row r="246" spans="59:59">
      <c r="BG246" s="14"/>
    </row>
    <row r="247" spans="59:59">
      <c r="BG247" s="14"/>
    </row>
    <row r="248" spans="59:59">
      <c r="BG248" s="14"/>
    </row>
    <row r="249" spans="59:59">
      <c r="BG249" s="14"/>
    </row>
    <row r="250" spans="59:59">
      <c r="BG250" s="14"/>
    </row>
    <row r="251" spans="59:59">
      <c r="BG251" s="14"/>
    </row>
    <row r="252" spans="59:59">
      <c r="BG252" s="14"/>
    </row>
    <row r="253" spans="59:59">
      <c r="BG253" s="14"/>
    </row>
    <row r="254" spans="59:59">
      <c r="BG254" s="14"/>
    </row>
    <row r="255" spans="59:59">
      <c r="BG255" s="14"/>
    </row>
    <row r="256" spans="59:59">
      <c r="BG256" s="14"/>
    </row>
    <row r="257" spans="59:59">
      <c r="BG257" s="14"/>
    </row>
    <row r="258" spans="59:59">
      <c r="BG258" s="14"/>
    </row>
    <row r="259" spans="59:59">
      <c r="BG259" s="14"/>
    </row>
    <row r="260" spans="59:59">
      <c r="BG260" s="116"/>
    </row>
    <row r="261" spans="59:59">
      <c r="BG261" s="14"/>
    </row>
    <row r="262" spans="59:59">
      <c r="BG262" s="14"/>
    </row>
    <row r="263" spans="59:59">
      <c r="BG263" s="14"/>
    </row>
    <row r="264" spans="59:59">
      <c r="BG264" s="14"/>
    </row>
    <row r="265" spans="59:59">
      <c r="BG265" s="14"/>
    </row>
    <row r="266" spans="59:59">
      <c r="BG266" s="14"/>
    </row>
    <row r="267" spans="59:59">
      <c r="BG267" s="14"/>
    </row>
    <row r="268" spans="59:59">
      <c r="BG268" s="14"/>
    </row>
    <row r="269" spans="59:59">
      <c r="BG269" s="14"/>
    </row>
    <row r="270" spans="59:59">
      <c r="BG270" s="14"/>
    </row>
    <row r="271" spans="59:59">
      <c r="BG271" s="14"/>
    </row>
    <row r="272" spans="59:59">
      <c r="BG272" s="14"/>
    </row>
    <row r="273" spans="59:59">
      <c r="BG273" s="14"/>
    </row>
    <row r="274" spans="59:59">
      <c r="BG274" s="14"/>
    </row>
    <row r="275" spans="59:59">
      <c r="BG275" s="14"/>
    </row>
    <row r="276" spans="59:59">
      <c r="BG276" s="14"/>
    </row>
    <row r="277" spans="59:59">
      <c r="BG277" s="14"/>
    </row>
    <row r="278" spans="59:59">
      <c r="BG278" s="14"/>
    </row>
    <row r="279" spans="59:59">
      <c r="BG279" s="14"/>
    </row>
  </sheetData>
  <mergeCells count="6">
    <mergeCell ref="AU14:AZ14"/>
    <mergeCell ref="BB14:BE14"/>
    <mergeCell ref="Y14:AB14"/>
    <mergeCell ref="AD14:AH14"/>
    <mergeCell ref="AJ14:AK14"/>
    <mergeCell ref="AM14:AS14"/>
  </mergeCells>
  <phoneticPr fontId="24" type="noConversion"/>
  <conditionalFormatting sqref="Y20:Z79 AB20:AB79">
    <cfRule type="cellIs" dxfId="1"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BE104"/>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15" t="s">
        <v>72</v>
      </c>
      <c r="K14" s="916"/>
      <c r="L14" s="917"/>
      <c r="N14" s="915" t="s">
        <v>73</v>
      </c>
      <c r="O14" s="917"/>
      <c r="Q14" s="328" t="s">
        <v>74</v>
      </c>
      <c r="R14" s="329"/>
      <c r="S14" s="329"/>
      <c r="T14" s="329"/>
      <c r="U14" s="329"/>
      <c r="V14" s="329"/>
      <c r="W14" s="329"/>
      <c r="X14" s="329"/>
      <c r="Y14" s="329"/>
      <c r="Z14" s="329"/>
      <c r="AA14" s="329"/>
      <c r="AB14" s="329"/>
      <c r="AC14" s="329"/>
      <c r="AD14" s="329"/>
      <c r="AE14" s="329"/>
      <c r="AF14" s="330"/>
      <c r="AH14" s="909" t="s">
        <v>1737</v>
      </c>
      <c r="AI14" s="909"/>
      <c r="AJ14" s="90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Tablas'!B27</f>
        <v>225000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Tablas'!B28</f>
        <v>30</v>
      </c>
      <c r="E18" s="289" t="s">
        <v>55</v>
      </c>
      <c r="F18" s="274">
        <f ca="1" xml:space="preserve"> Tasa.Interes / Dias.En.Año</f>
        <v>3.5833333333333333E-4</v>
      </c>
      <c r="J18" s="44"/>
      <c r="K18"/>
      <c r="V18" s="86">
        <f ca="1">SUM(_Interes)</f>
        <v>15260.467310029069</v>
      </c>
      <c r="X18" s="86">
        <f ca="1">SUM(_Iva)</f>
        <v>1831.2560772034881</v>
      </c>
      <c r="Z18" s="86"/>
      <c r="AA18" s="86"/>
      <c r="AB18" s="86">
        <f ca="1">SUM(_Capital)</f>
        <v>225000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Tablas'!B29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Tablas'!B30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225000</v>
      </c>
      <c r="O20" s="97">
        <f t="shared" ref="O20:O51" ca="1" si="3" xml:space="preserve"> ( Pago.Fijo + ( Pago.Extra.Ciclo.1 * ( _Ciclo = 1 ) ) ) * ( _Amortizacion &lt;= Numero.Pagos )</f>
        <v>20249.560282269293</v>
      </c>
      <c r="Q20" s="20">
        <f ca="1">_Saldo_Ciclico</f>
        <v>225000</v>
      </c>
      <c r="S20" s="20">
        <f t="shared" ref="S20:S78" ca="1" si="4">_Saldo_Inicial * Tasa.Diaria</f>
        <v>80.625</v>
      </c>
      <c r="T20" s="20">
        <f t="shared" ref="T20:T78" ca="1" si="5" xml:space="preserve"> _Interes_Diario * Dias.Por.Periodo</f>
        <v>2418.75</v>
      </c>
      <c r="U20" s="20">
        <f>Fechas!_Dias_Interes_Pago</f>
        <v>20</v>
      </c>
      <c r="V20" s="20">
        <f t="shared" ref="V20:V78" ca="1" si="6" xml:space="preserve"> _Interes_Diario * _Dias_Interes_Periodo</f>
        <v>1612.5</v>
      </c>
      <c r="X20" s="20">
        <f t="shared" ref="X20:X78" ca="1" si="7" xml:space="preserve"> _Interes * Iva.Intereses</f>
        <v>193.5</v>
      </c>
      <c r="Z20" s="97">
        <f t="shared" ref="Z20:Z78" ca="1" si="8" xml:space="preserve"> _Pago_Fijo - ( _Interes_Periodo_Regular * ( 1 + Iva.Intereses ) )</f>
        <v>17540.560282269293</v>
      </c>
      <c r="AA20" s="97">
        <f t="shared" ref="AA20:AA78" ca="1" si="9">_Saldo_Inicial * ( _Amortizacion = Numero.Pagos )</f>
        <v>0</v>
      </c>
      <c r="AB20" s="97">
        <f ca="1">MAX( _Calculo_Capital _Actual, _Stopper_Capital _Actual )</f>
        <v>17540.560282269293</v>
      </c>
      <c r="AD20" s="97">
        <f t="shared" ref="AD20:AD78" ca="1" si="10" xml:space="preserve"> _Capital + _Interes + _Iva</f>
        <v>19346.560282269293</v>
      </c>
      <c r="AF20" s="97">
        <f ca="1">MAX(_Saldo_Inicial _Actual - _Capital _Actual, 0)</f>
        <v>207459.43971773071</v>
      </c>
      <c r="AH20" s="292">
        <f>Fechas!_Dias_Interes_CAT</f>
        <v>30</v>
      </c>
      <c r="AI20" s="97">
        <f t="shared" ref="AI20:AI78" ca="1" si="11" xml:space="preserve"> _Interes_Diario * _Dias_Cat</f>
        <v>2418.75</v>
      </c>
      <c r="AJ20" s="293">
        <f ca="1" xml:space="preserve"> _Capital + _Interes_CAT</f>
        <v>19959.310282269293</v>
      </c>
      <c r="AK20" s="44"/>
      <c r="AL20" s="44"/>
      <c r="AM20" s="44" t="s">
        <v>82</v>
      </c>
      <c r="AN20" s="102" t="s">
        <v>83</v>
      </c>
      <c r="AV20" s="14"/>
      <c r="AW20" s="14"/>
      <c r="AX20" s="14"/>
      <c r="AY20" s="14"/>
      <c r="AZ20" s="14"/>
      <c r="BC20" s="14"/>
      <c r="BD20" s="14"/>
      <c r="BE20" s="14"/>
    </row>
    <row r="21" spans="2:57">
      <c r="B21" s="290" t="s">
        <v>1729</v>
      </c>
      <c r="C21" s="294">
        <f ca="1">'Configuración de Tablas'!B31</f>
        <v>0.12</v>
      </c>
      <c r="J21" s="14">
        <v>2</v>
      </c>
      <c r="K21" s="14">
        <f t="shared" ca="1" si="0"/>
        <v>2</v>
      </c>
      <c r="L21" s="32">
        <f t="shared" ca="1" si="1"/>
        <v>1</v>
      </c>
      <c r="N21" s="20">
        <f t="shared" ca="1" si="2"/>
        <v>0</v>
      </c>
      <c r="O21" s="97">
        <f t="shared" ca="1" si="3"/>
        <v>20249.560282269293</v>
      </c>
      <c r="Q21" s="97">
        <f ca="1">MAX( _Saldo_Final _Anterior + _Saldo_Ciclico, 0)</f>
        <v>207459.43971773071</v>
      </c>
      <c r="S21" s="20">
        <f t="shared" ca="1" si="4"/>
        <v>74.339632565520176</v>
      </c>
      <c r="T21" s="20">
        <f t="shared" ca="1" si="5"/>
        <v>2230.1889769656054</v>
      </c>
      <c r="U21" s="20">
        <f>Fechas!_Dias_Interes_Pago</f>
        <v>30</v>
      </c>
      <c r="V21" s="20">
        <f t="shared" ca="1" si="6"/>
        <v>2230.1889769656054</v>
      </c>
      <c r="X21" s="97">
        <f t="shared" ca="1" si="7"/>
        <v>267.62267723587263</v>
      </c>
      <c r="Z21" s="97">
        <f t="shared" ca="1" si="8"/>
        <v>17751.748628067813</v>
      </c>
      <c r="AA21" s="97">
        <f t="shared" ca="1" si="9"/>
        <v>0</v>
      </c>
      <c r="AB21" s="97">
        <f ca="1">MAX( _Calculo_Capital _Actual, _Stopper_Capital _Actual )</f>
        <v>17751.748628067813</v>
      </c>
      <c r="AD21" s="97">
        <f t="shared" ca="1" si="10"/>
        <v>20249.560282269289</v>
      </c>
      <c r="AF21" s="97">
        <f ca="1">MAX(_Saldo_Inicial _Actual - _Capital _Actual, 0)</f>
        <v>189707.6910896629</v>
      </c>
      <c r="AH21" s="292">
        <f>Fechas!_Dias_Interes_CAT</f>
        <v>30</v>
      </c>
      <c r="AI21" s="97">
        <f t="shared" ca="1" si="11"/>
        <v>2230.1889769656054</v>
      </c>
      <c r="AJ21" s="293">
        <f t="shared" ref="AJ21:AJ78" ca="1" si="12" xml:space="preserve"> _Capital + _Interes_CAT - _Saldo_Ciclico</f>
        <v>19981.937605033418</v>
      </c>
      <c r="AK21" s="44"/>
      <c r="AL21" s="44"/>
      <c r="AN21" s="102" t="s">
        <v>84</v>
      </c>
      <c r="AV21" s="14"/>
      <c r="AW21" s="14"/>
      <c r="AX21" s="14"/>
      <c r="AY21" s="14"/>
      <c r="AZ21" s="14"/>
      <c r="BC21" s="14"/>
      <c r="BD21" s="14"/>
      <c r="BE21" s="14"/>
    </row>
    <row r="22" spans="2:57">
      <c r="B22" s="290" t="s">
        <v>1714</v>
      </c>
      <c r="C22" s="294">
        <f ca="1">'Configuración de Tablas'!B32</f>
        <v>0.129</v>
      </c>
      <c r="E22" s="102" t="s">
        <v>85</v>
      </c>
      <c r="F22" s="20">
        <f ca="1">-PPMT(Tasa.Por.Periodo*(1+Iva.Intereses),1,Periodos.Por.Ciclo,Monto.Financiar)</f>
        <v>17540.560282269293</v>
      </c>
      <c r="J22" s="14">
        <v>3</v>
      </c>
      <c r="K22" s="14">
        <f t="shared" ca="1" si="0"/>
        <v>3</v>
      </c>
      <c r="L22" s="32">
        <f t="shared" ca="1" si="1"/>
        <v>1</v>
      </c>
      <c r="N22" s="20">
        <f t="shared" ca="1" si="2"/>
        <v>0</v>
      </c>
      <c r="O22" s="97">
        <f t="shared" ca="1" si="3"/>
        <v>20249.560282269293</v>
      </c>
      <c r="Q22" s="97">
        <f ca="1">MAX( _Saldo_Final _Anterior + _Saldo_Ciclico, 0)</f>
        <v>189707.6910896629</v>
      </c>
      <c r="S22" s="20">
        <f t="shared" ca="1" si="4"/>
        <v>67.978589307129198</v>
      </c>
      <c r="T22" s="20">
        <f t="shared" ca="1" si="5"/>
        <v>2039.3576792138761</v>
      </c>
      <c r="U22" s="20">
        <f>Fechas!_Dias_Interes_Pago</f>
        <v>30</v>
      </c>
      <c r="V22" s="20">
        <f t="shared" ca="1" si="6"/>
        <v>2039.3576792138761</v>
      </c>
      <c r="X22" s="97">
        <f t="shared" ca="1" si="7"/>
        <v>244.72292150566511</v>
      </c>
      <c r="Z22" s="97">
        <f t="shared" ca="1" si="8"/>
        <v>17965.47968154975</v>
      </c>
      <c r="AA22" s="97">
        <f t="shared" ca="1" si="9"/>
        <v>0</v>
      </c>
      <c r="AB22" s="97">
        <f ca="1">MAX( _Calculo_Capital _Actual, _Stopper_Capital _Actual )</f>
        <v>17965.47968154975</v>
      </c>
      <c r="AD22" s="97">
        <f t="shared" ca="1" si="10"/>
        <v>20249.560282269293</v>
      </c>
      <c r="AF22" s="97">
        <f ca="1">MAX(_Saldo_Inicial _Actual - _Capital _Actual, 0)</f>
        <v>171742.21140811316</v>
      </c>
      <c r="AH22" s="292">
        <f>Fechas!_Dias_Interes_CAT</f>
        <v>30</v>
      </c>
      <c r="AI22" s="97">
        <f t="shared" ca="1" si="11"/>
        <v>2039.3576792138761</v>
      </c>
      <c r="AJ22" s="293">
        <f t="shared" ca="1" si="12"/>
        <v>20004.837360763628</v>
      </c>
      <c r="AK22" s="44"/>
      <c r="AL22" s="44"/>
      <c r="AM22" s="44"/>
      <c r="AN22" s="102" t="s">
        <v>86</v>
      </c>
      <c r="AV22" s="14"/>
      <c r="AW22" s="14"/>
      <c r="AX22" s="14"/>
      <c r="AY22" s="14"/>
      <c r="AZ22" s="14"/>
      <c r="BC22" s="14"/>
      <c r="BD22" s="14"/>
      <c r="BE22" s="14"/>
    </row>
    <row r="23" spans="2:57">
      <c r="B23" s="290" t="s">
        <v>38</v>
      </c>
      <c r="C23" s="288">
        <f>'Configuración de Tablas'!B33</f>
        <v>360</v>
      </c>
      <c r="E23" s="102" t="s">
        <v>87</v>
      </c>
      <c r="F23" s="20">
        <f ca="1">-IPMT(Tasa.Diaria.Por.Periodo*(1+Iva.Intereses),1,Periodos.Por.Ciclo,Monto.Financiar)</f>
        <v>2709</v>
      </c>
      <c r="J23" s="14">
        <v>4</v>
      </c>
      <c r="K23" s="14">
        <f t="shared" ca="1" si="0"/>
        <v>4</v>
      </c>
      <c r="L23" s="32">
        <f t="shared" ca="1" si="1"/>
        <v>1</v>
      </c>
      <c r="N23" s="20">
        <f t="shared" ca="1" si="2"/>
        <v>0</v>
      </c>
      <c r="O23" s="97">
        <f t="shared" ca="1" si="3"/>
        <v>20249.560282269293</v>
      </c>
      <c r="Q23" s="97">
        <f ca="1">MAX( _Saldo_Final _Anterior + _Saldo_Ciclico, 0)</f>
        <v>171742.21140811316</v>
      </c>
      <c r="S23" s="20">
        <f t="shared" ca="1" si="4"/>
        <v>61.540959087907218</v>
      </c>
      <c r="T23" s="20">
        <f t="shared" ca="1" si="5"/>
        <v>1846.2287726372165</v>
      </c>
      <c r="U23" s="20">
        <f>Fechas!_Dias_Interes_Pago</f>
        <v>30</v>
      </c>
      <c r="V23" s="20">
        <f t="shared" ca="1" si="6"/>
        <v>1846.2287726372165</v>
      </c>
      <c r="X23" s="97">
        <f t="shared" ca="1" si="7"/>
        <v>221.54745271646598</v>
      </c>
      <c r="Z23" s="97">
        <f t="shared" ca="1" si="8"/>
        <v>18181.784056915611</v>
      </c>
      <c r="AA23" s="97">
        <f t="shared" ca="1" si="9"/>
        <v>0</v>
      </c>
      <c r="AB23" s="97">
        <f ca="1">MAX( _Calculo_Capital _Actual, _Stopper_Capital _Actual )</f>
        <v>18181.784056915611</v>
      </c>
      <c r="AD23" s="97">
        <f t="shared" ca="1" si="10"/>
        <v>20249.560282269293</v>
      </c>
      <c r="AF23" s="97">
        <f ca="1">MAX(_Saldo_Inicial _Actual - _Capital _Actual, 0)</f>
        <v>153560.42735119755</v>
      </c>
      <c r="AH23" s="292">
        <f>Fechas!_Dias_Interes_CAT</f>
        <v>30</v>
      </c>
      <c r="AI23" s="97">
        <f t="shared" ca="1" si="11"/>
        <v>1846.2287726372165</v>
      </c>
      <c r="AJ23" s="293">
        <f t="shared" ca="1" si="12"/>
        <v>20028.012829552827</v>
      </c>
      <c r="AK23" s="44"/>
      <c r="AL23" s="44"/>
      <c r="AM23" s="44"/>
      <c r="AN23" s="102" t="s">
        <v>88</v>
      </c>
      <c r="AV23" s="14"/>
      <c r="AW23" s="14"/>
      <c r="AX23" s="14"/>
      <c r="AY23" s="14"/>
      <c r="AZ23" s="14"/>
      <c r="BC23" s="14"/>
      <c r="BD23" s="14"/>
      <c r="BE23" s="14"/>
    </row>
    <row r="24" spans="2:57">
      <c r="B24" s="102" t="s">
        <v>66</v>
      </c>
      <c r="C24" s="331" t="str">
        <f>'Configuración de Tablas'!B34</f>
        <v>Fechas!_Dias_Interes_Pago</v>
      </c>
      <c r="E24" s="99" t="s">
        <v>89</v>
      </c>
      <c r="F24" s="20">
        <f ca="1">SUM(Componentes.Pago.Fijo)</f>
        <v>20249.560282269293</v>
      </c>
      <c r="J24" s="14">
        <v>5</v>
      </c>
      <c r="K24" s="14">
        <f t="shared" ca="1" si="0"/>
        <v>5</v>
      </c>
      <c r="L24" s="32">
        <f t="shared" ca="1" si="1"/>
        <v>1</v>
      </c>
      <c r="N24" s="20">
        <f t="shared" ca="1" si="2"/>
        <v>0</v>
      </c>
      <c r="O24" s="97">
        <f t="shared" ca="1" si="3"/>
        <v>20249.560282269293</v>
      </c>
      <c r="Q24" s="97">
        <f ca="1">MAX( _Saldo_Final _Anterior + _Saldo_Ciclico, 0)</f>
        <v>153560.42735119755</v>
      </c>
      <c r="S24" s="20">
        <f t="shared" ca="1" si="4"/>
        <v>55.025819800845788</v>
      </c>
      <c r="T24" s="20">
        <f t="shared" ca="1" si="5"/>
        <v>1650.7745940253737</v>
      </c>
      <c r="U24" s="20">
        <f>Fechas!_Dias_Interes_Pago</f>
        <v>30</v>
      </c>
      <c r="V24" s="20">
        <f t="shared" ca="1" si="6"/>
        <v>1650.7745940253737</v>
      </c>
      <c r="X24" s="97">
        <f t="shared" ca="1" si="7"/>
        <v>198.09295128304484</v>
      </c>
      <c r="Z24" s="97">
        <f t="shared" ca="1" si="8"/>
        <v>18400.692736960875</v>
      </c>
      <c r="AA24" s="97">
        <f t="shared" ca="1" si="9"/>
        <v>0</v>
      </c>
      <c r="AB24" s="97">
        <f ca="1">MAX( _Calculo_Capital _Actual, _Stopper_Capital _Actual )</f>
        <v>18400.692736960875</v>
      </c>
      <c r="AD24" s="97">
        <f t="shared" ca="1" si="10"/>
        <v>20249.560282269293</v>
      </c>
      <c r="AF24" s="97">
        <f ca="1">MAX(_Saldo_Inicial _Actual - _Capital _Actual, 0)</f>
        <v>135159.73461423669</v>
      </c>
      <c r="AH24" s="292">
        <f>Fechas!_Dias_Interes_CAT</f>
        <v>30</v>
      </c>
      <c r="AI24" s="97">
        <f t="shared" ca="1" si="11"/>
        <v>1650.7745940253737</v>
      </c>
      <c r="AJ24" s="293">
        <f t="shared" ca="1" si="12"/>
        <v>20051.467330986248</v>
      </c>
      <c r="AK24" s="44"/>
      <c r="AL24" s="44"/>
      <c r="AM24" s="44" t="s">
        <v>70</v>
      </c>
      <c r="AN24" s="102" t="s">
        <v>90</v>
      </c>
      <c r="AV24" s="14"/>
      <c r="AW24" s="14"/>
      <c r="AX24" s="14"/>
      <c r="AY24" s="14"/>
      <c r="AZ24" s="14"/>
      <c r="BC24" s="14"/>
      <c r="BD24" s="14"/>
      <c r="BE24" s="14"/>
    </row>
    <row r="25" spans="2:57">
      <c r="B25" s="102" t="s">
        <v>67</v>
      </c>
      <c r="C25" s="295" t="b">
        <f>'Configuración de Tablas'!B35</f>
        <v>0</v>
      </c>
      <c r="J25" s="14">
        <v>6</v>
      </c>
      <c r="K25" s="14">
        <f t="shared" ca="1" si="0"/>
        <v>6</v>
      </c>
      <c r="L25" s="32">
        <f t="shared" ca="1" si="1"/>
        <v>1</v>
      </c>
      <c r="N25" s="20">
        <f t="shared" ca="1" si="2"/>
        <v>0</v>
      </c>
      <c r="O25" s="97">
        <f t="shared" ca="1" si="3"/>
        <v>20249.560282269293</v>
      </c>
      <c r="Q25" s="97">
        <f ca="1">MAX( _Saldo_Final _Anterior + _Saldo_Ciclico, 0)</f>
        <v>135159.73461423669</v>
      </c>
      <c r="S25" s="20">
        <f t="shared" ca="1" si="4"/>
        <v>48.43223823676815</v>
      </c>
      <c r="T25" s="20">
        <f t="shared" ca="1" si="5"/>
        <v>1452.9671471030445</v>
      </c>
      <c r="U25" s="20">
        <f>Fechas!_Dias_Interes_Pago</f>
        <v>30</v>
      </c>
      <c r="V25" s="20">
        <f t="shared" ca="1" si="6"/>
        <v>1452.9671471030445</v>
      </c>
      <c r="X25" s="97">
        <f t="shared" ca="1" si="7"/>
        <v>174.35605765236534</v>
      </c>
      <c r="Z25" s="97">
        <f t="shared" ca="1" si="8"/>
        <v>18622.237077513884</v>
      </c>
      <c r="AA25" s="97">
        <f t="shared" ca="1" si="9"/>
        <v>0</v>
      </c>
      <c r="AB25" s="97">
        <f ca="1">MAX( _Calculo_Capital _Actual, _Stopper_Capital _Actual )</f>
        <v>18622.237077513884</v>
      </c>
      <c r="AD25" s="97">
        <f t="shared" ca="1" si="10"/>
        <v>20249.560282269296</v>
      </c>
      <c r="AF25" s="97">
        <f ca="1">MAX(_Saldo_Inicial _Actual - _Capital _Actual, 0)</f>
        <v>116537.4975367228</v>
      </c>
      <c r="AH25" s="292">
        <f>Fechas!_Dias_Interes_CAT</f>
        <v>30</v>
      </c>
      <c r="AI25" s="97">
        <f t="shared" ca="1" si="11"/>
        <v>1452.9671471030445</v>
      </c>
      <c r="AJ25" s="293">
        <f t="shared" ca="1" si="12"/>
        <v>20075.204224616929</v>
      </c>
      <c r="AK25" s="44"/>
      <c r="AL25" s="44"/>
      <c r="AN25" s="102" t="s">
        <v>107</v>
      </c>
      <c r="AV25" s="14"/>
      <c r="AW25" s="14"/>
      <c r="AX25" s="14"/>
      <c r="AY25" s="14"/>
      <c r="AZ25" s="14"/>
      <c r="BC25" s="14"/>
      <c r="BD25" s="14"/>
      <c r="BE25" s="14"/>
    </row>
    <row r="26" spans="2:57">
      <c r="B26" s="102" t="s">
        <v>68</v>
      </c>
      <c r="C26" s="288">
        <f>'Configuración de Tablas'!B36</f>
        <v>0</v>
      </c>
      <c r="E26" s="102" t="s">
        <v>91</v>
      </c>
      <c r="F26" s="20">
        <f ca="1">-PPMT(Tasa.Por.Periodo*(1+Iva.Intereses),1,Periodos.Por.Ciclo,Monto.Extra.Ciclo.1)</f>
        <v>0</v>
      </c>
      <c r="J26" s="14">
        <v>7</v>
      </c>
      <c r="K26" s="14">
        <f t="shared" ca="1" si="0"/>
        <v>7</v>
      </c>
      <c r="L26" s="32">
        <f t="shared" ca="1" si="1"/>
        <v>1</v>
      </c>
      <c r="N26" s="20">
        <f t="shared" ca="1" si="2"/>
        <v>0</v>
      </c>
      <c r="O26" s="97">
        <f t="shared" ca="1" si="3"/>
        <v>20249.560282269293</v>
      </c>
      <c r="Q26" s="97">
        <f ca="1">MAX( _Saldo_Final _Anterior + _Saldo_Ciclico, 0)</f>
        <v>116537.4975367228</v>
      </c>
      <c r="S26" s="20">
        <f t="shared" ca="1" si="4"/>
        <v>41.759269950659004</v>
      </c>
      <c r="T26" s="20">
        <f t="shared" ca="1" si="5"/>
        <v>1252.7780985197701</v>
      </c>
      <c r="U26" s="20">
        <f>Fechas!_Dias_Interes_Pago</f>
        <v>30</v>
      </c>
      <c r="V26" s="20">
        <f t="shared" ca="1" si="6"/>
        <v>1252.7780985197701</v>
      </c>
      <c r="X26" s="97">
        <f t="shared" ca="1" si="7"/>
        <v>150.33337182237241</v>
      </c>
      <c r="Z26" s="97">
        <f t="shared" ca="1" si="8"/>
        <v>18846.448811927148</v>
      </c>
      <c r="AA26" s="97">
        <f t="shared" ca="1" si="9"/>
        <v>0</v>
      </c>
      <c r="AB26" s="97">
        <f ca="1">MAX( _Calculo_Capital _Actual, _Stopper_Capital _Actual )</f>
        <v>18846.448811927148</v>
      </c>
      <c r="AD26" s="97">
        <f t="shared" ca="1" si="10"/>
        <v>20249.560282269293</v>
      </c>
      <c r="AF26" s="97">
        <f ca="1">MAX(_Saldo_Inicial _Actual - _Capital _Actual, 0)</f>
        <v>97691.048724795663</v>
      </c>
      <c r="AH26" s="292">
        <f>Fechas!_Dias_Interes_CAT</f>
        <v>30</v>
      </c>
      <c r="AI26" s="97">
        <f t="shared" ca="1" si="11"/>
        <v>1252.7780985197701</v>
      </c>
      <c r="AJ26" s="293">
        <f t="shared" ca="1" si="12"/>
        <v>20099.22691044692</v>
      </c>
      <c r="AK26" s="44"/>
      <c r="AL26" s="44"/>
      <c r="AN26" s="102" t="s">
        <v>109</v>
      </c>
      <c r="AV26" s="14"/>
      <c r="AW26" s="14"/>
      <c r="AX26" s="14"/>
      <c r="AY26" s="14"/>
      <c r="AZ26" s="14"/>
      <c r="BC26" s="14"/>
      <c r="BD26" s="14"/>
      <c r="BE26" s="14"/>
    </row>
    <row r="27" spans="2:57">
      <c r="B27" s="102" t="s">
        <v>69</v>
      </c>
      <c r="C27" s="288" t="str">
        <f>'Configuración de Tablas'!B37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20249.560282269293</v>
      </c>
      <c r="Q27" s="97">
        <f ca="1">MAX( _Saldo_Final _Anterior + _Saldo_Ciclico, 0)</f>
        <v>97691.048724795663</v>
      </c>
      <c r="S27" s="20">
        <f t="shared" ca="1" si="4"/>
        <v>35.005959126385115</v>
      </c>
      <c r="T27" s="20">
        <f t="shared" ca="1" si="5"/>
        <v>1050.1787737915533</v>
      </c>
      <c r="U27" s="20">
        <f>Fechas!_Dias_Interes_Pago</f>
        <v>30</v>
      </c>
      <c r="V27" s="20">
        <f t="shared" ca="1" si="6"/>
        <v>1050.1787737915533</v>
      </c>
      <c r="X27" s="97">
        <f t="shared" ca="1" si="7"/>
        <v>126.02145285498639</v>
      </c>
      <c r="Z27" s="97">
        <f t="shared" ca="1" si="8"/>
        <v>19073.360055622754</v>
      </c>
      <c r="AA27" s="97">
        <f t="shared" ca="1" si="9"/>
        <v>0</v>
      </c>
      <c r="AB27" s="97">
        <f ca="1">MAX( _Calculo_Capital _Actual, _Stopper_Capital _Actual )</f>
        <v>19073.360055622754</v>
      </c>
      <c r="AD27" s="97">
        <f t="shared" ca="1" si="10"/>
        <v>20249.560282269296</v>
      </c>
      <c r="AF27" s="97">
        <f ca="1">MAX(_Saldo_Inicial _Actual - _Capital _Actual, 0)</f>
        <v>78617.688669172901</v>
      </c>
      <c r="AH27" s="292">
        <f>Fechas!_Dias_Interes_CAT</f>
        <v>30</v>
      </c>
      <c r="AI27" s="97">
        <f t="shared" ca="1" si="11"/>
        <v>1050.1787737915533</v>
      </c>
      <c r="AJ27" s="293">
        <f t="shared" ca="1" si="12"/>
        <v>20123.538829414309</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20249.560282269293</v>
      </c>
      <c r="Q28" s="97">
        <f ca="1">MAX( _Saldo_Final _Anterior + _Saldo_Ciclico, 0)</f>
        <v>78617.688669172901</v>
      </c>
      <c r="S28" s="20">
        <f t="shared" ca="1" si="4"/>
        <v>28.171338439786958</v>
      </c>
      <c r="T28" s="20">
        <f t="shared" ca="1" si="5"/>
        <v>845.14015319360874</v>
      </c>
      <c r="U28" s="20">
        <f>Fechas!_Dias_Interes_Pago</f>
        <v>30</v>
      </c>
      <c r="V28" s="20">
        <f t="shared" ca="1" si="6"/>
        <v>845.14015319360874</v>
      </c>
      <c r="X28" s="97">
        <f t="shared" ca="1" si="7"/>
        <v>101.41681838323305</v>
      </c>
      <c r="Z28" s="97">
        <f t="shared" ca="1" si="8"/>
        <v>19303.003310692449</v>
      </c>
      <c r="AA28" s="97">
        <f t="shared" ca="1" si="9"/>
        <v>0</v>
      </c>
      <c r="AB28" s="97">
        <f ca="1">MAX( _Calculo_Capital _Actual, _Stopper_Capital _Actual )</f>
        <v>19303.003310692449</v>
      </c>
      <c r="AD28" s="97">
        <f t="shared" ca="1" si="10"/>
        <v>20249.560282269293</v>
      </c>
      <c r="AF28" s="97">
        <f ca="1">MAX(_Saldo_Inicial _Actual - _Capital _Actual, 0)</f>
        <v>59314.685358480448</v>
      </c>
      <c r="AH28" s="292">
        <f>Fechas!_Dias_Interes_CAT</f>
        <v>30</v>
      </c>
      <c r="AI28" s="97">
        <f t="shared" ca="1" si="11"/>
        <v>845.14015319360874</v>
      </c>
      <c r="AJ28" s="293">
        <f t="shared" ca="1" si="12"/>
        <v>20148.143463886059</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20249.560282269293</v>
      </c>
      <c r="Q29" s="97">
        <f ca="1">MAX( _Saldo_Final _Anterior + _Saldo_Ciclico, 0)</f>
        <v>59314.685358480448</v>
      </c>
      <c r="S29" s="20">
        <f t="shared" ca="1" si="4"/>
        <v>21.254428920122162</v>
      </c>
      <c r="T29" s="20">
        <f t="shared" ca="1" si="5"/>
        <v>637.63286760366486</v>
      </c>
      <c r="U29" s="20">
        <f>Fechas!_Dias_Interes_Pago</f>
        <v>30</v>
      </c>
      <c r="V29" s="20">
        <f t="shared" ca="1" si="6"/>
        <v>637.63286760366486</v>
      </c>
      <c r="X29" s="97">
        <f t="shared" ca="1" si="7"/>
        <v>76.515944112439783</v>
      </c>
      <c r="Z29" s="97">
        <f t="shared" ca="1" si="8"/>
        <v>19535.411470553187</v>
      </c>
      <c r="AA29" s="97">
        <f t="shared" ca="1" si="9"/>
        <v>0</v>
      </c>
      <c r="AB29" s="97">
        <f ca="1">MAX( _Calculo_Capital _Actual, _Stopper_Capital _Actual )</f>
        <v>19535.411470553187</v>
      </c>
      <c r="AD29" s="97">
        <f t="shared" ca="1" si="10"/>
        <v>20249.560282269293</v>
      </c>
      <c r="AF29" s="97">
        <f ca="1">MAX(_Saldo_Inicial _Actual - _Capital _Actual, 0)</f>
        <v>39779.273887927266</v>
      </c>
      <c r="AH29" s="292">
        <f>Fechas!_Dias_Interes_CAT</f>
        <v>30</v>
      </c>
      <c r="AI29" s="97">
        <f t="shared" ca="1" si="11"/>
        <v>637.63286760366486</v>
      </c>
      <c r="AJ29" s="293">
        <f t="shared" ca="1" si="12"/>
        <v>20173.044338156851</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20249.560282269293</v>
      </c>
      <c r="Q30" s="97">
        <f ca="1">MAX( _Saldo_Final _Anterior + _Saldo_Ciclico, 0)</f>
        <v>39779.273887927266</v>
      </c>
      <c r="S30" s="20">
        <f t="shared" ca="1" si="4"/>
        <v>14.254239809840604</v>
      </c>
      <c r="T30" s="20">
        <f t="shared" ca="1" si="5"/>
        <v>427.62719429521809</v>
      </c>
      <c r="U30" s="20">
        <f>Fechas!_Dias_Interes_Pago</f>
        <v>30</v>
      </c>
      <c r="V30" s="20">
        <f t="shared" ca="1" si="6"/>
        <v>427.62719429521809</v>
      </c>
      <c r="X30" s="97">
        <f t="shared" ca="1" si="7"/>
        <v>51.315263315426172</v>
      </c>
      <c r="Z30" s="97">
        <f t="shared" ca="1" si="8"/>
        <v>19770.61782465865</v>
      </c>
      <c r="AA30" s="97">
        <f t="shared" ca="1" si="9"/>
        <v>0</v>
      </c>
      <c r="AB30" s="97">
        <f ca="1">MAX( _Calculo_Capital _Actual, _Stopper_Capital _Actual )</f>
        <v>19770.61782465865</v>
      </c>
      <c r="AD30" s="97">
        <f t="shared" ca="1" si="10"/>
        <v>20249.560282269296</v>
      </c>
      <c r="AF30" s="97">
        <f ca="1">MAX(_Saldo_Inicial _Actual - _Capital _Actual, 0)</f>
        <v>20008.656063268616</v>
      </c>
      <c r="AH30" s="292">
        <f>Fechas!_Dias_Interes_CAT</f>
        <v>30</v>
      </c>
      <c r="AI30" s="97">
        <f t="shared" ca="1" si="11"/>
        <v>427.62719429521809</v>
      </c>
      <c r="AJ30" s="293">
        <f t="shared" ca="1" si="12"/>
        <v>20198.245018953869</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12</v>
      </c>
      <c r="J31" s="14">
        <v>12</v>
      </c>
      <c r="K31" s="14">
        <f t="shared" ca="1" si="0"/>
        <v>12</v>
      </c>
      <c r="L31" s="32">
        <f t="shared" ca="1" si="1"/>
        <v>1</v>
      </c>
      <c r="N31" s="20">
        <f t="shared" ca="1" si="2"/>
        <v>0</v>
      </c>
      <c r="O31" s="97">
        <f t="shared" ca="1" si="3"/>
        <v>20249.560282269293</v>
      </c>
      <c r="Q31" s="97">
        <f ca="1">MAX( _Saldo_Final _Anterior + _Saldo_Ciclico, 0)</f>
        <v>20008.656063268616</v>
      </c>
      <c r="S31" s="20">
        <f t="shared" ca="1" si="4"/>
        <v>7.1697684226712539</v>
      </c>
      <c r="T31" s="20">
        <f t="shared" ca="1" si="5"/>
        <v>215.09305268013762</v>
      </c>
      <c r="U31" s="20">
        <f>Fechas!_Dias_Interes_Pago</f>
        <v>30</v>
      </c>
      <c r="V31" s="20">
        <f t="shared" ca="1" si="6"/>
        <v>215.09305268013762</v>
      </c>
      <c r="X31" s="97">
        <f t="shared" ca="1" si="7"/>
        <v>25.811166321616515</v>
      </c>
      <c r="Z31" s="97">
        <f t="shared" ca="1" si="8"/>
        <v>20008.656063267539</v>
      </c>
      <c r="AA31" s="97">
        <f t="shared" ca="1" si="9"/>
        <v>20008.656063268616</v>
      </c>
      <c r="AB31" s="97">
        <f ca="1">MAX( _Calculo_Capital _Actual, _Stopper_Capital _Actual )</f>
        <v>20008.656063268616</v>
      </c>
      <c r="AD31" s="97">
        <f t="shared" ca="1" si="10"/>
        <v>20249.560282270369</v>
      </c>
      <c r="AF31" s="97">
        <f ca="1">MAX(_Saldo_Inicial _Actual - _Capital _Actual, 0)</f>
        <v>0</v>
      </c>
      <c r="AH31" s="292">
        <f>Fechas!_Dias_Interes_CAT</f>
        <v>30</v>
      </c>
      <c r="AI31" s="97">
        <f t="shared" ca="1" si="11"/>
        <v>215.09305268013762</v>
      </c>
      <c r="AJ31" s="293">
        <f t="shared" ca="1" si="12"/>
        <v>20223.749115948754</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BE104"/>
  <sheetViews>
    <sheetView zoomScale="85" zoomScaleNormal="85" workbookViewId="0"/>
    <sheetView workbookViewId="1"/>
  </sheetViews>
  <sheetFormatPr defaultRowHeight="15"/>
  <cols>
    <col min="1" max="1" width="1.42578125" style="14" customWidth="1"/>
    <col min="2" max="3" width="30.140625" style="14" customWidth="1"/>
    <col min="4" max="4" width="1.7109375" customWidth="1"/>
    <col min="5" max="5" width="30.140625" style="14" customWidth="1"/>
    <col min="6" max="6" width="30.140625" style="14" bestFit="1" customWidth="1"/>
    <col min="7" max="7" width="1.42578125" style="14" customWidth="1"/>
    <col min="8" max="8" width="1.42578125" style="67" customWidth="1"/>
    <col min="9" max="9" width="1.42578125" style="14" customWidth="1"/>
    <col min="10" max="12" width="16.7109375" style="14" customWidth="1"/>
    <col min="13" max="13" width="1.7109375" bestFit="1" customWidth="1"/>
    <col min="14" max="15" width="16.7109375" style="14" customWidth="1"/>
    <col min="16" max="16" width="1.7109375" bestFit="1" customWidth="1"/>
    <col min="17" max="17" width="16.7109375" style="14" customWidth="1"/>
    <col min="18" max="18" width="1.7109375" bestFit="1" customWidth="1"/>
    <col min="19" max="22" width="16.7109375" style="14" customWidth="1"/>
    <col min="23" max="23" width="1.7109375" customWidth="1"/>
    <col min="24" max="24" width="16.7109375" style="14" customWidth="1"/>
    <col min="25" max="25" width="1.7109375" bestFit="1" customWidth="1"/>
    <col min="26" max="28" width="16.7109375" style="14" customWidth="1"/>
    <col min="29" max="29" width="1.7109375" bestFit="1" customWidth="1"/>
    <col min="30" max="30" width="16.7109375" customWidth="1"/>
    <col min="31" max="31" width="1.7109375" bestFit="1" customWidth="1"/>
    <col min="32" max="32" width="16.7109375" style="14" customWidth="1"/>
    <col min="33" max="33" width="1.42578125" style="14" customWidth="1"/>
    <col min="34" max="36" width="18.7109375" style="14" customWidth="1"/>
    <col min="37" max="40" width="9.140625" style="14" customWidth="1"/>
    <col min="41" max="41" width="35.28515625" style="14" customWidth="1"/>
    <col min="42" max="42" width="36" style="14" customWidth="1"/>
    <col min="43" max="47" width="9.140625" style="14" customWidth="1"/>
    <col min="48" max="52" width="9.140625" customWidth="1"/>
    <col min="53" max="54" width="9.140625" style="14" customWidth="1"/>
    <col min="55" max="57" width="9.140625" customWidth="1"/>
    <col min="58" max="16384" width="9.140625" style="14"/>
  </cols>
  <sheetData>
    <row r="1" spans="1:57" s="670" customFormat="1">
      <c r="D1"/>
      <c r="H1" s="67"/>
      <c r="M1"/>
      <c r="P1"/>
      <c r="R1"/>
      <c r="W1"/>
      <c r="Y1"/>
      <c r="AC1"/>
      <c r="AD1"/>
      <c r="AE1"/>
      <c r="AV1"/>
      <c r="AW1"/>
      <c r="AX1"/>
      <c r="AY1"/>
      <c r="AZ1"/>
      <c r="BC1"/>
      <c r="BD1"/>
      <c r="BE1"/>
    </row>
    <row r="2" spans="1:57" ht="20.25" thickBot="1">
      <c r="A2" s="84"/>
      <c r="B2" s="84"/>
      <c r="C2" s="84"/>
      <c r="D2" s="12"/>
      <c r="E2" s="84"/>
      <c r="F2" s="84"/>
      <c r="G2" s="84"/>
      <c r="H2" s="280"/>
      <c r="I2" s="84"/>
      <c r="J2" s="306" t="s">
        <v>176</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282"/>
      <c r="J3" s="269" t="s">
        <v>1718</v>
      </c>
      <c r="K3" s="102" t="s">
        <v>71</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283"/>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282"/>
      <c r="J5" s="14"/>
      <c r="K5" s="14"/>
      <c r="L5" s="14"/>
      <c r="M5" s="117"/>
      <c r="N5" s="14"/>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11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14"/>
      <c r="AO10" s="20"/>
      <c r="AP10" s="20"/>
    </row>
    <row r="11" spans="1:57" hidden="1">
      <c r="B11"/>
      <c r="C11"/>
      <c r="E11"/>
      <c r="F11"/>
      <c r="AD11" s="14"/>
      <c r="AO11" s="20"/>
      <c r="AP11" s="20"/>
    </row>
    <row r="12" spans="1:57" hidden="1">
      <c r="B12"/>
      <c r="C12"/>
      <c r="E12"/>
      <c r="F12"/>
      <c r="J12" s="113"/>
      <c r="K12" s="113"/>
      <c r="L12" s="108"/>
      <c r="N12" s="109"/>
    </row>
    <row r="13" spans="1:57">
      <c r="B13"/>
      <c r="C13"/>
      <c r="E13"/>
      <c r="F13"/>
      <c r="J13" s="114"/>
      <c r="K13" s="114"/>
    </row>
    <row r="14" spans="1:57">
      <c r="B14"/>
      <c r="C14"/>
      <c r="E14"/>
      <c r="F14"/>
      <c r="J14" s="915" t="s">
        <v>72</v>
      </c>
      <c r="K14" s="916"/>
      <c r="L14" s="917"/>
      <c r="N14" s="915" t="s">
        <v>73</v>
      </c>
      <c r="O14" s="917"/>
      <c r="Q14" s="328" t="s">
        <v>74</v>
      </c>
      <c r="R14" s="329"/>
      <c r="S14" s="329"/>
      <c r="T14" s="329"/>
      <c r="U14" s="329"/>
      <c r="V14" s="329"/>
      <c r="W14" s="329"/>
      <c r="X14" s="329"/>
      <c r="Y14" s="329"/>
      <c r="Z14" s="329"/>
      <c r="AA14" s="329"/>
      <c r="AB14" s="329"/>
      <c r="AC14" s="329"/>
      <c r="AD14" s="329"/>
      <c r="AE14" s="329"/>
      <c r="AF14" s="330"/>
      <c r="AH14" s="909" t="s">
        <v>1737</v>
      </c>
      <c r="AI14" s="909"/>
      <c r="AJ14" s="909"/>
      <c r="AV14" s="14"/>
      <c r="AW14" s="14"/>
      <c r="AX14" s="14"/>
      <c r="AY14" s="14"/>
      <c r="AZ14" s="14"/>
      <c r="BC14" s="14"/>
      <c r="BD14" s="14"/>
      <c r="BE14" s="14"/>
    </row>
    <row r="15" spans="1:57" s="108" customFormat="1">
      <c r="B15"/>
      <c r="C15"/>
      <c r="D15"/>
      <c r="E15"/>
      <c r="F15"/>
      <c r="H15" s="282"/>
      <c r="J15" s="117"/>
      <c r="K15" s="117"/>
      <c r="M15"/>
      <c r="P15"/>
      <c r="R15"/>
      <c r="W15"/>
      <c r="Y15"/>
      <c r="AC15"/>
      <c r="AE15"/>
    </row>
    <row r="16" spans="1:57" s="90" customFormat="1" ht="30">
      <c r="A16" s="90" t="s">
        <v>555</v>
      </c>
      <c r="B16" s="284" t="s">
        <v>1734</v>
      </c>
      <c r="C16" s="282"/>
      <c r="D16" t="s">
        <v>555</v>
      </c>
      <c r="E16" s="284" t="s">
        <v>489</v>
      </c>
      <c r="F16" s="282"/>
      <c r="G16" s="90" t="s">
        <v>555</v>
      </c>
      <c r="H16" s="285" t="s">
        <v>555</v>
      </c>
      <c r="I16" s="90" t="s">
        <v>555</v>
      </c>
      <c r="J16" s="92" t="s">
        <v>75</v>
      </c>
      <c r="K16" s="92" t="s">
        <v>1721</v>
      </c>
      <c r="L16" s="92" t="s">
        <v>1720</v>
      </c>
      <c r="M16"/>
      <c r="N16" s="286" t="s">
        <v>76</v>
      </c>
      <c r="O16" s="287" t="s">
        <v>63</v>
      </c>
      <c r="P16" t="s">
        <v>555</v>
      </c>
      <c r="Q16" s="89" t="s">
        <v>1699</v>
      </c>
      <c r="R16"/>
      <c r="S16" s="107" t="s">
        <v>32</v>
      </c>
      <c r="T16" s="107" t="s">
        <v>177</v>
      </c>
      <c r="U16" s="107" t="s">
        <v>178</v>
      </c>
      <c r="V16" s="89" t="s">
        <v>1701</v>
      </c>
      <c r="W16"/>
      <c r="X16" s="89" t="s">
        <v>492</v>
      </c>
      <c r="Y16"/>
      <c r="Z16" s="107" t="s">
        <v>77</v>
      </c>
      <c r="AA16" s="107" t="s">
        <v>78</v>
      </c>
      <c r="AB16" s="89" t="s">
        <v>1700</v>
      </c>
      <c r="AC16"/>
      <c r="AD16" s="89" t="s">
        <v>1702</v>
      </c>
      <c r="AE16"/>
      <c r="AF16" s="89" t="s">
        <v>1703</v>
      </c>
      <c r="AG16" s="90" t="s">
        <v>555</v>
      </c>
      <c r="AH16" s="107" t="s">
        <v>79</v>
      </c>
      <c r="AI16" s="107" t="s">
        <v>80</v>
      </c>
      <c r="AJ16" s="89" t="s">
        <v>1712</v>
      </c>
    </row>
    <row r="17" spans="2:57">
      <c r="B17" s="102" t="s">
        <v>43</v>
      </c>
      <c r="C17" s="288">
        <f ca="1">'Configuración de Tablas'!E27</f>
        <v>0</v>
      </c>
      <c r="E17" s="289" t="s">
        <v>56</v>
      </c>
      <c r="F17" s="274">
        <f ca="1" xml:space="preserve"> Tasa.Interes / Periodos.Por.Año</f>
        <v>1.0750000000000001E-2</v>
      </c>
      <c r="K17"/>
      <c r="AD17" s="14"/>
      <c r="AV17" s="14"/>
      <c r="AW17" s="14"/>
      <c r="AX17" s="14"/>
      <c r="AY17" s="14"/>
      <c r="AZ17" s="14"/>
      <c r="BC17" s="14"/>
      <c r="BD17" s="14"/>
      <c r="BE17" s="14"/>
    </row>
    <row r="18" spans="2:57">
      <c r="B18" s="290" t="s">
        <v>44</v>
      </c>
      <c r="C18" s="291">
        <f>'Configuración de Tablas'!E28</f>
        <v>30</v>
      </c>
      <c r="E18" s="289" t="s">
        <v>55</v>
      </c>
      <c r="F18" s="274">
        <f ca="1" xml:space="preserve"> Tasa.Interes / Dias.En.Año</f>
        <v>3.5833333333333333E-4</v>
      </c>
      <c r="J18" s="44"/>
      <c r="K18"/>
      <c r="V18" s="86">
        <f ca="1">SUM(_Interes)</f>
        <v>0</v>
      </c>
      <c r="X18" s="86">
        <f ca="1">SUM(_Iva)</f>
        <v>0</v>
      </c>
      <c r="Z18" s="86"/>
      <c r="AA18" s="86"/>
      <c r="AB18" s="86">
        <f ca="1">SUM(_Capital)</f>
        <v>0</v>
      </c>
      <c r="AD18" s="86"/>
      <c r="AF18" s="86"/>
      <c r="AH18" s="86"/>
      <c r="AI18" s="86"/>
      <c r="AJ18" s="86"/>
      <c r="AK18" s="85"/>
      <c r="AL18" s="85"/>
      <c r="AM18" s="85" t="s">
        <v>81</v>
      </c>
      <c r="AV18" s="14"/>
      <c r="AW18" s="14"/>
      <c r="AX18" s="14"/>
      <c r="AY18" s="14"/>
      <c r="AZ18" s="14"/>
      <c r="BC18" s="14"/>
      <c r="BD18" s="14"/>
      <c r="BE18" s="14"/>
    </row>
    <row r="19" spans="2:57">
      <c r="B19" s="290" t="s">
        <v>1731</v>
      </c>
      <c r="C19" s="291">
        <f ca="1">'Configuración de Tablas'!E29</f>
        <v>12</v>
      </c>
      <c r="E19" s="289" t="s">
        <v>54</v>
      </c>
      <c r="F19" s="274">
        <f ca="1" xml:space="preserve"> Tasa.Diaria * Dias.Por.Periodo</f>
        <v>1.0749999999999999E-2</v>
      </c>
      <c r="K19"/>
      <c r="AD19" s="14"/>
      <c r="AV19" s="14"/>
      <c r="AW19" s="14"/>
      <c r="AX19" s="14"/>
      <c r="AY19" s="14"/>
      <c r="AZ19" s="14"/>
      <c r="BC19" s="14"/>
      <c r="BD19" s="14"/>
      <c r="BE19" s="14"/>
    </row>
    <row r="20" spans="2:57">
      <c r="B20" s="290" t="s">
        <v>1728</v>
      </c>
      <c r="C20" s="291">
        <f ca="1">'Configuración de Tablas'!E30</f>
        <v>12</v>
      </c>
      <c r="E20" s="290" t="s">
        <v>53</v>
      </c>
      <c r="F20" s="116">
        <f ca="1">IF( Tabla.Ciclica.Anual?, Periodos.Por.Año, Numero.Pagos )</f>
        <v>12</v>
      </c>
      <c r="J20" s="14">
        <v>1</v>
      </c>
      <c r="K20" s="14">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20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ca="1" xml:space="preserve"> _Capital + _Interes_CAT</f>
        <v>0</v>
      </c>
      <c r="AK20" s="44"/>
      <c r="AL20" s="44"/>
      <c r="AM20" s="44" t="s">
        <v>82</v>
      </c>
      <c r="AN20" s="102" t="s">
        <v>83</v>
      </c>
      <c r="AV20" s="14"/>
      <c r="AW20" s="14"/>
      <c r="AX20" s="14"/>
      <c r="AY20" s="14"/>
      <c r="AZ20" s="14"/>
      <c r="BC20" s="14"/>
      <c r="BD20" s="14"/>
      <c r="BE20" s="14"/>
    </row>
    <row r="21" spans="2:57">
      <c r="B21" s="290" t="s">
        <v>1729</v>
      </c>
      <c r="C21" s="294">
        <f ca="1">'Configuración de Tablas'!E31</f>
        <v>0.12</v>
      </c>
      <c r="J21" s="14">
        <v>2</v>
      </c>
      <c r="K21" s="14">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ref="AJ21:AJ78" ca="1" si="12" xml:space="preserve"> _Capital + _Interes_CAT - _Saldo_Ciclico</f>
        <v>0</v>
      </c>
      <c r="AK21" s="44"/>
      <c r="AL21" s="44"/>
      <c r="AN21" s="102" t="s">
        <v>84</v>
      </c>
      <c r="AV21" s="14"/>
      <c r="AW21" s="14"/>
      <c r="AX21" s="14"/>
      <c r="AY21" s="14"/>
      <c r="AZ21" s="14"/>
      <c r="BC21" s="14"/>
      <c r="BD21" s="14"/>
      <c r="BE21" s="14"/>
    </row>
    <row r="22" spans="2:57">
      <c r="B22" s="290" t="s">
        <v>1714</v>
      </c>
      <c r="C22" s="294">
        <f ca="1">'Configuración de Tablas'!E32</f>
        <v>0.129</v>
      </c>
      <c r="E22" s="102" t="s">
        <v>85</v>
      </c>
      <c r="F22" s="20">
        <f ca="1">-PPMT(Tasa.Por.Periodo*(1+Iva.Intereses),1,Periodos.Por.Ciclo,Monto.Financiar)</f>
        <v>0</v>
      </c>
      <c r="J22" s="14">
        <v>3</v>
      </c>
      <c r="K22" s="14">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44"/>
      <c r="AL22" s="44"/>
      <c r="AM22" s="44"/>
      <c r="AN22" s="102" t="s">
        <v>86</v>
      </c>
      <c r="AV22" s="14"/>
      <c r="AW22" s="14"/>
      <c r="AX22" s="14"/>
      <c r="AY22" s="14"/>
      <c r="AZ22" s="14"/>
      <c r="BC22" s="14"/>
      <c r="BD22" s="14"/>
      <c r="BE22" s="14"/>
    </row>
    <row r="23" spans="2:57">
      <c r="B23" s="290" t="s">
        <v>38</v>
      </c>
      <c r="C23" s="288">
        <f>'Configuración de Tablas'!E33</f>
        <v>360</v>
      </c>
      <c r="E23" s="102" t="s">
        <v>87</v>
      </c>
      <c r="F23" s="20">
        <f ca="1">-IPMT(Tasa.Diaria.Por.Periodo*(1+Iva.Intereses),1,Periodos.Por.Ciclo,Monto.Financiar)</f>
        <v>0</v>
      </c>
      <c r="J23" s="14">
        <v>4</v>
      </c>
      <c r="K23" s="14">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44"/>
      <c r="AL23" s="44"/>
      <c r="AM23" s="44"/>
      <c r="AN23" s="102" t="s">
        <v>88</v>
      </c>
      <c r="AV23" s="14"/>
      <c r="AW23" s="14"/>
      <c r="AX23" s="14"/>
      <c r="AY23" s="14"/>
      <c r="AZ23" s="14"/>
      <c r="BC23" s="14"/>
      <c r="BD23" s="14"/>
      <c r="BE23" s="14"/>
    </row>
    <row r="24" spans="2:57">
      <c r="B24" s="102" t="s">
        <v>66</v>
      </c>
      <c r="C24" s="331" t="str">
        <f>'Configuración de Tablas'!E34</f>
        <v>Fechas!_Dias_Interes_Pago</v>
      </c>
      <c r="E24" s="99" t="s">
        <v>89</v>
      </c>
      <c r="F24" s="20">
        <f ca="1">SUM(Componentes.Pago.Fijo)</f>
        <v>0</v>
      </c>
      <c r="J24" s="14">
        <v>5</v>
      </c>
      <c r="K24" s="14">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44"/>
      <c r="AL24" s="44"/>
      <c r="AM24" s="44" t="s">
        <v>70</v>
      </c>
      <c r="AN24" s="102" t="s">
        <v>90</v>
      </c>
      <c r="AV24" s="14"/>
      <c r="AW24" s="14"/>
      <c r="AX24" s="14"/>
      <c r="AY24" s="14"/>
      <c r="AZ24" s="14"/>
      <c r="BC24" s="14"/>
      <c r="BD24" s="14"/>
      <c r="BE24" s="14"/>
    </row>
    <row r="25" spans="2:57">
      <c r="B25" s="102" t="s">
        <v>67</v>
      </c>
      <c r="C25" s="295" t="b">
        <f>'Configuración de Tablas'!E35</f>
        <v>0</v>
      </c>
      <c r="J25" s="14">
        <v>6</v>
      </c>
      <c r="K25" s="14">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44"/>
      <c r="AL25" s="44"/>
      <c r="AN25" s="102" t="s">
        <v>107</v>
      </c>
      <c r="AV25" s="14"/>
      <c r="AW25" s="14"/>
      <c r="AX25" s="14"/>
      <c r="AY25" s="14"/>
      <c r="AZ25" s="14"/>
      <c r="BC25" s="14"/>
      <c r="BD25" s="14"/>
      <c r="BE25" s="14"/>
    </row>
    <row r="26" spans="2:57">
      <c r="B26" s="102" t="s">
        <v>68</v>
      </c>
      <c r="C26" s="288">
        <f>'Configuración de Tablas'!E36</f>
        <v>0</v>
      </c>
      <c r="E26" s="102" t="s">
        <v>91</v>
      </c>
      <c r="F26" s="20">
        <f ca="1">-PPMT(Tasa.Por.Periodo*(1+Iva.Intereses),1,Periodos.Por.Ciclo,Monto.Extra.Ciclo.1)</f>
        <v>0</v>
      </c>
      <c r="J26" s="14">
        <v>7</v>
      </c>
      <c r="K26" s="14">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44"/>
      <c r="AL26" s="44"/>
      <c r="AN26" s="102" t="s">
        <v>109</v>
      </c>
      <c r="AV26" s="14"/>
      <c r="AW26" s="14"/>
      <c r="AX26" s="14"/>
      <c r="AY26" s="14"/>
      <c r="AZ26" s="14"/>
      <c r="BC26" s="14"/>
      <c r="BD26" s="14"/>
      <c r="BE26" s="14"/>
    </row>
    <row r="27" spans="2:57">
      <c r="B27" s="102" t="s">
        <v>69</v>
      </c>
      <c r="C27" s="288" t="str">
        <f>'Configuración de Tablas'!E37</f>
        <v>Fechas!_Dias_Interes_CAT</v>
      </c>
      <c r="E27" s="102" t="s">
        <v>92</v>
      </c>
      <c r="F27" s="20">
        <f ca="1">-IPMT(Tasa.Diaria.Por.Periodo*(1+Iva.Intereses),1,Periodos.Por.Ciclo,Monto.Extra.Ciclo.1)</f>
        <v>0</v>
      </c>
      <c r="J27" s="14">
        <v>8</v>
      </c>
      <c r="K27" s="14">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44"/>
      <c r="AL27" s="44"/>
      <c r="AM27" s="44" t="s">
        <v>106</v>
      </c>
      <c r="AN27" s="102" t="s">
        <v>111</v>
      </c>
      <c r="AV27" s="14"/>
      <c r="AW27" s="14"/>
      <c r="AX27" s="14"/>
      <c r="AY27" s="14"/>
      <c r="AZ27" s="14"/>
      <c r="BC27" s="14"/>
      <c r="BD27" s="14"/>
      <c r="BE27" s="14"/>
    </row>
    <row r="28" spans="2:57">
      <c r="E28" s="99" t="s">
        <v>93</v>
      </c>
      <c r="F28" s="20">
        <f ca="1">SUM(Componentes.Pago.Fijo.Inicial)</f>
        <v>0</v>
      </c>
      <c r="J28" s="14">
        <v>9</v>
      </c>
      <c r="K28" s="14">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44"/>
      <c r="AL28" s="44"/>
      <c r="AM28" s="44" t="s">
        <v>176</v>
      </c>
      <c r="AN28" s="102" t="s">
        <v>179</v>
      </c>
      <c r="AO28" s="32"/>
      <c r="AP28" s="32"/>
      <c r="AV28" s="14"/>
      <c r="AW28" s="14"/>
      <c r="AX28" s="14"/>
      <c r="AY28" s="14"/>
      <c r="AZ28" s="14"/>
      <c r="BC28" s="14"/>
      <c r="BD28" s="14"/>
      <c r="BE28" s="14"/>
    </row>
    <row r="29" spans="2:57">
      <c r="B29" s="135" t="s">
        <v>94</v>
      </c>
      <c r="C29" s="67"/>
      <c r="J29" s="14">
        <v>10</v>
      </c>
      <c r="K29" s="14">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44"/>
      <c r="AL29" s="44"/>
      <c r="AM29" s="44"/>
      <c r="AN29" s="102"/>
      <c r="AO29" s="32"/>
      <c r="AP29" s="32"/>
      <c r="AV29" s="14"/>
      <c r="AW29" s="14"/>
      <c r="AX29" s="14"/>
      <c r="AY29" s="14"/>
      <c r="AZ29" s="14"/>
      <c r="BC29" s="14"/>
      <c r="BD29" s="14"/>
      <c r="BE29" s="14"/>
    </row>
    <row r="30" spans="2:57">
      <c r="B30" s="102" t="s">
        <v>66</v>
      </c>
      <c r="C30" s="14" t="str">
        <f ca="1">IF(ISERROR(INDIRECT(Parametro.Rango.Dias.Periodo)), "Dias.Por.Periodo", Parametro.Rango.Dias.Periodo)</f>
        <v>Fechas!_Dias_Interes_Pago</v>
      </c>
      <c r="E30" s="296" t="s">
        <v>95</v>
      </c>
      <c r="F30" s="67"/>
      <c r="J30" s="14">
        <v>11</v>
      </c>
      <c r="K30" s="14">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44"/>
      <c r="AL30" s="44"/>
      <c r="AM30" s="44"/>
      <c r="AN30" s="102"/>
      <c r="AO30" s="32"/>
      <c r="AP30" s="32"/>
      <c r="AV30" s="14"/>
      <c r="AW30" s="14"/>
      <c r="AX30" s="14"/>
      <c r="AY30" s="14"/>
      <c r="AZ30" s="14"/>
      <c r="BC30" s="14"/>
      <c r="BD30" s="14"/>
      <c r="BE30" s="14"/>
    </row>
    <row r="31" spans="2:57">
      <c r="B31" s="102" t="s">
        <v>67</v>
      </c>
      <c r="C31" s="14" t="b">
        <f>IF(ISLOGICAL(Parametro.Tabla.Ciclica.Anual?), Parametro.Tabla.Ciclica.Anual?, FALSE)</f>
        <v>0</v>
      </c>
      <c r="E31" s="297" t="s">
        <v>96</v>
      </c>
      <c r="F31" s="116">
        <f ca="1">MIN( MATCH(0,_Saldo_Final,0),  Periodos.Por.Ciclo )</f>
        <v>1</v>
      </c>
      <c r="J31" s="14">
        <v>12</v>
      </c>
      <c r="K31" s="14">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44"/>
      <c r="AL31" s="44"/>
      <c r="AM31" s="44"/>
      <c r="AN31" s="102"/>
      <c r="AO31" s="32"/>
      <c r="AP31" s="32"/>
      <c r="AV31" s="14"/>
      <c r="AW31" s="14"/>
      <c r="AX31" s="14"/>
      <c r="AY31" s="14"/>
      <c r="AZ31" s="14"/>
      <c r="BC31" s="14"/>
      <c r="BD31" s="14"/>
      <c r="BE31" s="14"/>
    </row>
    <row r="32" spans="2:57">
      <c r="B32" s="102" t="s">
        <v>68</v>
      </c>
      <c r="C32" s="298">
        <f xml:space="preserve"> IF( ISNUMBER( Parametro.Monto.Extra.Ciclo.1 ), Parametro.Monto.Extra.Ciclo.1, 0 ) * ( Tabla.Ciclica.Anual? )</f>
        <v>0</v>
      </c>
      <c r="J32" s="14">
        <v>13</v>
      </c>
      <c r="K32" s="14">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44"/>
      <c r="AL32" s="44"/>
      <c r="AM32" s="44"/>
      <c r="AN32" s="102"/>
      <c r="AO32" s="32"/>
      <c r="AP32" s="32"/>
      <c r="AV32" s="14"/>
      <c r="AW32" s="14"/>
      <c r="AX32" s="14"/>
      <c r="AY32" s="14"/>
      <c r="AZ32" s="14"/>
      <c r="BC32" s="14"/>
      <c r="BD32" s="14"/>
      <c r="BE32" s="14"/>
    </row>
    <row r="33" spans="2:57">
      <c r="B33" s="102" t="s">
        <v>69</v>
      </c>
      <c r="C33" s="14" t="str">
        <f ca="1">IF(ISERROR(INDIRECT(Parametro.Rango.Dias.CAT)), Rango.Dias.Periodo, Parametro.Rango.Dias.CAT)</f>
        <v>Fechas!_Dias_Interes_CAT</v>
      </c>
      <c r="J33" s="14">
        <v>14</v>
      </c>
      <c r="K33" s="14">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44"/>
      <c r="AL33" s="44"/>
      <c r="AM33" s="44"/>
      <c r="AN33" s="102"/>
      <c r="AO33" s="32"/>
      <c r="AP33" s="32"/>
      <c r="AV33" s="14"/>
      <c r="AW33" s="14"/>
      <c r="AX33" s="14"/>
      <c r="AY33" s="14"/>
      <c r="AZ33" s="14"/>
      <c r="BC33" s="14"/>
      <c r="BD33" s="14"/>
      <c r="BE33" s="14"/>
    </row>
    <row r="34" spans="2:57">
      <c r="J34" s="14">
        <v>15</v>
      </c>
      <c r="K34" s="14">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44"/>
      <c r="AL34" s="44"/>
      <c r="AM34" s="44"/>
      <c r="AN34" s="102"/>
      <c r="AO34" s="32"/>
      <c r="AP34" s="32"/>
      <c r="AV34" s="14"/>
      <c r="AW34" s="14"/>
      <c r="AX34" s="14"/>
      <c r="AY34" s="14"/>
      <c r="AZ34" s="14"/>
      <c r="BC34" s="14"/>
      <c r="BD34" s="14"/>
      <c r="BE34" s="14"/>
    </row>
    <row r="35" spans="2:57">
      <c r="B35" s="67"/>
      <c r="C35" s="67"/>
      <c r="D35" s="68"/>
      <c r="E35" s="135" t="s">
        <v>97</v>
      </c>
      <c r="F35" s="67"/>
      <c r="J35" s="14">
        <v>16</v>
      </c>
      <c r="K35" s="14">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44"/>
      <c r="AL35" s="44"/>
      <c r="AM35" s="44"/>
      <c r="AN35" s="102"/>
      <c r="AO35" s="32"/>
      <c r="AP35" s="32"/>
      <c r="AV35" s="14"/>
      <c r="AW35" s="14"/>
      <c r="AX35" s="14"/>
      <c r="AY35" s="14"/>
      <c r="AZ35" s="14"/>
      <c r="BC35" s="14"/>
      <c r="BD35" s="14"/>
      <c r="BE35" s="14"/>
    </row>
    <row r="36" spans="2:57">
      <c r="E36" s="299"/>
      <c r="F36" s="46"/>
      <c r="J36" s="14">
        <v>17</v>
      </c>
      <c r="K36" s="14">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44"/>
      <c r="AL36" s="44"/>
      <c r="AM36" s="44"/>
      <c r="AN36" s="102"/>
      <c r="AO36" s="32"/>
      <c r="AP36" s="32"/>
      <c r="AV36" s="14"/>
      <c r="AW36" s="14"/>
      <c r="AX36" s="14"/>
      <c r="AY36" s="14"/>
      <c r="AZ36" s="14"/>
      <c r="BC36" s="14"/>
      <c r="BD36" s="14"/>
      <c r="BE36" s="14"/>
    </row>
    <row r="37" spans="2:57">
      <c r="B37" s="32"/>
      <c r="C37" s="101" t="s">
        <v>98</v>
      </c>
      <c r="E37" s="111" t="s">
        <v>99</v>
      </c>
      <c r="F37" s="300" t="str">
        <f ca="1">Rango.Dias.Periodo</f>
        <v>Fechas!_Dias_Interes_Pago</v>
      </c>
      <c r="J37" s="14">
        <v>18</v>
      </c>
      <c r="K37" s="14">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44"/>
      <c r="AL37" s="44"/>
      <c r="AM37" s="44"/>
      <c r="AN37" s="102"/>
      <c r="AO37" s="32"/>
      <c r="AP37" s="32"/>
      <c r="AV37" s="14"/>
      <c r="AW37" s="14"/>
      <c r="AX37" s="14"/>
      <c r="AY37" s="14"/>
      <c r="AZ37" s="14"/>
      <c r="BC37" s="14"/>
      <c r="BD37" s="14"/>
      <c r="BE37" s="14"/>
    </row>
    <row r="38" spans="2:57">
      <c r="C38" s="101" t="s">
        <v>112</v>
      </c>
      <c r="E38" s="111" t="s">
        <v>99</v>
      </c>
      <c r="F38" s="300" t="str">
        <f ca="1">Rango.Dias.CAT</f>
        <v>Fechas!_Dias_Interes_CAT</v>
      </c>
      <c r="J38" s="14">
        <v>19</v>
      </c>
      <c r="K38" s="14">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44"/>
      <c r="AL38" s="44"/>
      <c r="AM38" s="44"/>
      <c r="AN38" s="102"/>
      <c r="AO38" s="32"/>
      <c r="AP38" s="32"/>
      <c r="AV38" s="14"/>
      <c r="AW38" s="14"/>
      <c r="AX38" s="14"/>
      <c r="AY38" s="14"/>
      <c r="AZ38" s="14"/>
      <c r="BC38" s="14"/>
      <c r="BD38" s="14"/>
      <c r="BE38" s="14"/>
    </row>
    <row r="39" spans="2:57">
      <c r="B39" s="32"/>
      <c r="C39" s="32"/>
      <c r="J39" s="14">
        <v>20</v>
      </c>
      <c r="K39" s="14">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44"/>
      <c r="AL39" s="44"/>
      <c r="AM39" s="44"/>
      <c r="AN39" s="102"/>
      <c r="AO39" s="32"/>
      <c r="AP39" s="32"/>
      <c r="AV39" s="14"/>
      <c r="AW39" s="14"/>
      <c r="AX39" s="14"/>
      <c r="AY39" s="14"/>
      <c r="AZ39" s="14"/>
      <c r="BC39" s="14"/>
      <c r="BD39" s="14"/>
      <c r="BE39" s="14"/>
    </row>
    <row r="40" spans="2:57">
      <c r="B40" s="32"/>
      <c r="C40" s="32"/>
      <c r="J40" s="14">
        <v>21</v>
      </c>
      <c r="K40" s="14">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44"/>
      <c r="AL40" s="44"/>
      <c r="AM40" s="44"/>
      <c r="AN40" s="102"/>
      <c r="AO40" s="32"/>
      <c r="AP40" s="32"/>
      <c r="AV40" s="14"/>
      <c r="AW40" s="14"/>
      <c r="AX40" s="14"/>
      <c r="AY40" s="14"/>
      <c r="AZ40" s="14"/>
      <c r="BC40" s="14"/>
      <c r="BD40" s="14"/>
      <c r="BE40" s="14"/>
    </row>
    <row r="41" spans="2:57">
      <c r="B41" s="32"/>
      <c r="C41" s="32"/>
      <c r="J41" s="14">
        <v>22</v>
      </c>
      <c r="K41" s="14">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44"/>
      <c r="AL41" s="44"/>
      <c r="AM41" s="44"/>
      <c r="AN41" s="102"/>
      <c r="AO41" s="32"/>
      <c r="AP41" s="32"/>
      <c r="AV41" s="14"/>
      <c r="AW41" s="14"/>
      <c r="AX41" s="14"/>
      <c r="AY41" s="14"/>
      <c r="AZ41" s="14"/>
      <c r="BC41" s="14"/>
      <c r="BD41" s="14"/>
      <c r="BE41" s="14"/>
    </row>
    <row r="42" spans="2:57">
      <c r="B42" s="301"/>
      <c r="C42" s="301"/>
      <c r="E42" s="116"/>
      <c r="F42" s="116"/>
      <c r="J42" s="14">
        <v>23</v>
      </c>
      <c r="K42" s="14">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44"/>
      <c r="AL42" s="44"/>
      <c r="AM42" s="44"/>
      <c r="AN42" s="102"/>
      <c r="AO42" s="32"/>
      <c r="AP42" s="32"/>
      <c r="AV42" s="14"/>
      <c r="AW42" s="14"/>
      <c r="AX42" s="14"/>
      <c r="AY42" s="14"/>
      <c r="AZ42" s="14"/>
      <c r="BC42" s="14"/>
      <c r="BD42" s="14"/>
      <c r="BE42" s="14"/>
    </row>
    <row r="43" spans="2:57">
      <c r="B43" s="32"/>
      <c r="C43" s="32"/>
      <c r="J43" s="14">
        <v>24</v>
      </c>
      <c r="K43" s="14">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44"/>
      <c r="AL43" s="44"/>
      <c r="AM43" s="44"/>
      <c r="AN43" s="102"/>
      <c r="AO43" s="32"/>
      <c r="AP43" s="32"/>
      <c r="AV43" s="14"/>
      <c r="AW43" s="14"/>
      <c r="AX43" s="14"/>
      <c r="AY43" s="14"/>
      <c r="AZ43" s="14"/>
      <c r="BC43" s="14"/>
      <c r="BD43" s="14"/>
      <c r="BE43" s="14"/>
    </row>
    <row r="44" spans="2:57" s="116" customFormat="1">
      <c r="B44" s="32"/>
      <c r="C44" s="32"/>
      <c r="D44"/>
      <c r="E44" s="14"/>
      <c r="F44" s="14"/>
      <c r="H44" s="67"/>
      <c r="J44" s="14">
        <v>25</v>
      </c>
      <c r="K44" s="14">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44"/>
      <c r="AL44" s="44"/>
      <c r="AM44" s="44"/>
      <c r="AN44" s="102"/>
      <c r="AO44" s="301"/>
      <c r="AP44" s="301"/>
    </row>
    <row r="45" spans="2:57">
      <c r="B45" s="32"/>
      <c r="C45" s="32"/>
      <c r="J45" s="14">
        <v>26</v>
      </c>
      <c r="K45" s="14">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44"/>
      <c r="AL45" s="44"/>
      <c r="AM45" s="44"/>
      <c r="AN45" s="102"/>
      <c r="AO45" s="32"/>
      <c r="AP45" s="32"/>
      <c r="AV45" s="14"/>
      <c r="AW45" s="14"/>
      <c r="AX45" s="14"/>
      <c r="AY45" s="14"/>
      <c r="AZ45" s="14"/>
      <c r="BC45" s="14"/>
      <c r="BD45" s="14"/>
      <c r="BE45" s="14"/>
    </row>
    <row r="46" spans="2:57">
      <c r="B46" s="32"/>
      <c r="C46" s="32"/>
      <c r="J46" s="14">
        <v>27</v>
      </c>
      <c r="K46" s="14">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44"/>
      <c r="AL46" s="44"/>
      <c r="AM46" s="44"/>
      <c r="AN46" s="102"/>
      <c r="AO46" s="32"/>
      <c r="AP46" s="32"/>
      <c r="AV46" s="14"/>
      <c r="AW46" s="14"/>
      <c r="AX46" s="14"/>
      <c r="AY46" s="14"/>
      <c r="AZ46" s="14"/>
      <c r="BC46" s="14"/>
      <c r="BD46" s="14"/>
      <c r="BE46" s="14"/>
    </row>
    <row r="47" spans="2:57">
      <c r="B47" s="32"/>
      <c r="C47" s="32"/>
      <c r="J47" s="14">
        <v>28</v>
      </c>
      <c r="K47" s="14">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44"/>
      <c r="AL47" s="44"/>
      <c r="AM47" s="44"/>
      <c r="AN47" s="102"/>
      <c r="AO47" s="32"/>
      <c r="AP47" s="32"/>
      <c r="AV47" s="14"/>
      <c r="AW47" s="14"/>
      <c r="AX47" s="14"/>
      <c r="AY47" s="14"/>
      <c r="AZ47" s="14"/>
      <c r="BC47" s="14"/>
      <c r="BD47" s="14"/>
      <c r="BE47" s="14"/>
    </row>
    <row r="48" spans="2:57">
      <c r="B48" s="32"/>
      <c r="C48" s="32"/>
      <c r="J48" s="14">
        <v>29</v>
      </c>
      <c r="K48" s="14">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44"/>
      <c r="AL48" s="44"/>
      <c r="AM48" s="44"/>
      <c r="AN48" s="102"/>
      <c r="AO48" s="32"/>
      <c r="AP48" s="32"/>
      <c r="AV48" s="14"/>
      <c r="AW48" s="14"/>
      <c r="AX48" s="14"/>
      <c r="AY48" s="14"/>
      <c r="AZ48" s="14"/>
      <c r="BC48" s="14"/>
      <c r="BD48" s="14"/>
      <c r="BE48" s="14"/>
    </row>
    <row r="49" spans="2:57">
      <c r="B49" s="32"/>
      <c r="C49" s="32"/>
      <c r="J49" s="14">
        <v>30</v>
      </c>
      <c r="K49" s="14">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44"/>
      <c r="AL49" s="44"/>
      <c r="AM49" s="44"/>
      <c r="AN49" s="102"/>
      <c r="AO49" s="32"/>
      <c r="AP49" s="32"/>
      <c r="AV49" s="14"/>
      <c r="AW49" s="14"/>
      <c r="AX49" s="14"/>
      <c r="AY49" s="14"/>
      <c r="AZ49" s="14"/>
      <c r="BC49" s="14"/>
      <c r="BD49" s="14"/>
      <c r="BE49" s="14"/>
    </row>
    <row r="50" spans="2:57">
      <c r="B50" s="32"/>
      <c r="C50" s="32"/>
      <c r="J50" s="14">
        <v>31</v>
      </c>
      <c r="K50" s="14">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44"/>
      <c r="AL50" s="44"/>
      <c r="AM50" s="44"/>
      <c r="AN50" s="102"/>
      <c r="AO50" s="32"/>
      <c r="AP50" s="32"/>
      <c r="AV50" s="14"/>
      <c r="AW50" s="14"/>
      <c r="AX50" s="14"/>
      <c r="AY50" s="14"/>
      <c r="AZ50" s="14"/>
      <c r="BC50" s="14"/>
      <c r="BD50" s="14"/>
      <c r="BE50" s="14"/>
    </row>
    <row r="51" spans="2:57">
      <c r="B51" s="32"/>
      <c r="C51" s="32"/>
      <c r="J51" s="14">
        <v>32</v>
      </c>
      <c r="K51" s="14">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44"/>
      <c r="AL51" s="44"/>
      <c r="AM51" s="44"/>
      <c r="AN51" s="102"/>
      <c r="AO51" s="32"/>
      <c r="AP51" s="32"/>
      <c r="AV51" s="14"/>
      <c r="AW51" s="14"/>
      <c r="AX51" s="14"/>
      <c r="AY51" s="14"/>
      <c r="AZ51" s="14"/>
      <c r="BC51" s="14"/>
      <c r="BD51" s="14"/>
      <c r="BE51" s="14"/>
    </row>
    <row r="52" spans="2:57">
      <c r="B52" s="32"/>
      <c r="C52" s="32"/>
      <c r="J52" s="14">
        <v>33</v>
      </c>
      <c r="K52" s="14">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44"/>
      <c r="AL52" s="44"/>
      <c r="AM52" s="44"/>
      <c r="AN52" s="102"/>
      <c r="AO52" s="32"/>
      <c r="AP52" s="32"/>
      <c r="AV52" s="14"/>
      <c r="AW52" s="14"/>
      <c r="AX52" s="14"/>
      <c r="AY52" s="14"/>
      <c r="AZ52" s="14"/>
      <c r="BC52" s="14"/>
      <c r="BD52" s="14"/>
      <c r="BE52" s="14"/>
    </row>
    <row r="53" spans="2:57">
      <c r="B53" s="32"/>
      <c r="C53" s="32"/>
      <c r="J53" s="14">
        <v>34</v>
      </c>
      <c r="K53" s="14">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44"/>
      <c r="AL53" s="44"/>
      <c r="AM53" s="44"/>
      <c r="AN53" s="102"/>
      <c r="AO53" s="32"/>
      <c r="AP53" s="32"/>
      <c r="AV53" s="14"/>
      <c r="AW53" s="14"/>
      <c r="AX53" s="14"/>
      <c r="AY53" s="14"/>
      <c r="AZ53" s="14"/>
      <c r="BC53" s="14"/>
      <c r="BD53" s="14"/>
      <c r="BE53" s="14"/>
    </row>
    <row r="54" spans="2:57">
      <c r="B54" s="32"/>
      <c r="C54" s="32"/>
      <c r="J54" s="14">
        <v>35</v>
      </c>
      <c r="K54" s="14">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44"/>
      <c r="AL54" s="44"/>
      <c r="AM54" s="44"/>
      <c r="AN54" s="102"/>
      <c r="AO54" s="32"/>
      <c r="AP54" s="32"/>
      <c r="AV54" s="14"/>
      <c r="AW54" s="14"/>
      <c r="AX54" s="14"/>
      <c r="AY54" s="14"/>
      <c r="AZ54" s="14"/>
      <c r="BC54" s="14"/>
      <c r="BD54" s="14"/>
      <c r="BE54" s="14"/>
    </row>
    <row r="55" spans="2:57">
      <c r="B55" s="32"/>
      <c r="C55" s="32"/>
      <c r="J55" s="14">
        <v>36</v>
      </c>
      <c r="K55" s="14">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44"/>
      <c r="AL55" s="44"/>
      <c r="AM55" s="44"/>
      <c r="AN55" s="102"/>
      <c r="AO55" s="32"/>
      <c r="AP55" s="32"/>
      <c r="AV55" s="14"/>
      <c r="AW55" s="14"/>
      <c r="AX55" s="14"/>
      <c r="AY55" s="14"/>
      <c r="AZ55" s="14"/>
      <c r="BC55" s="14"/>
      <c r="BD55" s="14"/>
      <c r="BE55" s="14"/>
    </row>
    <row r="56" spans="2:57">
      <c r="B56" s="32"/>
      <c r="C56" s="32"/>
      <c r="J56" s="14">
        <v>37</v>
      </c>
      <c r="K56" s="14">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44"/>
      <c r="AL56" s="44"/>
      <c r="AM56" s="44"/>
      <c r="AN56" s="102"/>
      <c r="AO56" s="32"/>
      <c r="AP56" s="32"/>
      <c r="AV56" s="14"/>
      <c r="AW56" s="14"/>
      <c r="AX56" s="14"/>
      <c r="AY56" s="14"/>
      <c r="AZ56" s="14"/>
      <c r="BC56" s="14"/>
      <c r="BD56" s="14"/>
      <c r="BE56" s="14"/>
    </row>
    <row r="57" spans="2:57">
      <c r="B57" s="32"/>
      <c r="C57" s="32"/>
      <c r="J57" s="14">
        <v>38</v>
      </c>
      <c r="K57" s="14">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44"/>
      <c r="AL57" s="44"/>
      <c r="AM57" s="44"/>
      <c r="AN57" s="102"/>
      <c r="AO57" s="32"/>
      <c r="AP57" s="32"/>
      <c r="AV57" s="14"/>
      <c r="AW57" s="14"/>
      <c r="AX57" s="14"/>
      <c r="AY57" s="14"/>
      <c r="AZ57" s="14"/>
      <c r="BC57" s="14"/>
      <c r="BD57" s="14"/>
      <c r="BE57" s="14"/>
    </row>
    <row r="58" spans="2:57">
      <c r="B58" s="32"/>
      <c r="C58" s="32"/>
      <c r="J58" s="14">
        <v>39</v>
      </c>
      <c r="K58" s="14">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44"/>
      <c r="AL58" s="44"/>
      <c r="AM58" s="44"/>
      <c r="AN58" s="102"/>
      <c r="AO58" s="32"/>
      <c r="AP58" s="32"/>
      <c r="AV58" s="14"/>
      <c r="AW58" s="14"/>
      <c r="AX58" s="14"/>
      <c r="AY58" s="14"/>
      <c r="AZ58" s="14"/>
      <c r="BC58" s="14"/>
      <c r="BD58" s="14"/>
      <c r="BE58" s="14"/>
    </row>
    <row r="59" spans="2:57">
      <c r="B59" s="32"/>
      <c r="C59" s="32"/>
      <c r="J59" s="14">
        <v>40</v>
      </c>
      <c r="K59" s="14">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44"/>
      <c r="AL59" s="44"/>
      <c r="AM59" s="44"/>
      <c r="AN59" s="102"/>
      <c r="AO59" s="32"/>
      <c r="AP59" s="32"/>
      <c r="AV59" s="14"/>
      <c r="AW59" s="14"/>
      <c r="AX59" s="14"/>
      <c r="AY59" s="14"/>
      <c r="AZ59" s="14"/>
      <c r="BC59" s="14"/>
      <c r="BD59" s="14"/>
      <c r="BE59" s="14"/>
    </row>
    <row r="60" spans="2:57">
      <c r="B60" s="32"/>
      <c r="C60" s="32"/>
      <c r="J60" s="14">
        <v>41</v>
      </c>
      <c r="K60" s="14">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44"/>
      <c r="AL60" s="44"/>
      <c r="AM60" s="44"/>
      <c r="AN60" s="102"/>
      <c r="AO60" s="32"/>
      <c r="AP60" s="32"/>
      <c r="AV60" s="14"/>
      <c r="AW60" s="14"/>
      <c r="AX60" s="14"/>
      <c r="AY60" s="14"/>
      <c r="AZ60" s="14"/>
      <c r="BC60" s="14"/>
      <c r="BD60" s="14"/>
      <c r="BE60" s="14"/>
    </row>
    <row r="61" spans="2:57">
      <c r="B61" s="32"/>
      <c r="C61" s="32"/>
      <c r="J61" s="14">
        <v>42</v>
      </c>
      <c r="K61" s="14">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44"/>
      <c r="AL61" s="44"/>
      <c r="AM61" s="44"/>
      <c r="AN61" s="102"/>
      <c r="AO61" s="32"/>
      <c r="AP61" s="32"/>
      <c r="AV61" s="14"/>
      <c r="AW61" s="14"/>
      <c r="AX61" s="14"/>
      <c r="AY61" s="14"/>
      <c r="AZ61" s="14"/>
      <c r="BC61" s="14"/>
      <c r="BD61" s="14"/>
      <c r="BE61" s="14"/>
    </row>
    <row r="62" spans="2:57">
      <c r="B62" s="32"/>
      <c r="C62" s="32"/>
      <c r="J62" s="14">
        <v>43</v>
      </c>
      <c r="K62" s="14">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44"/>
      <c r="AL62" s="44"/>
      <c r="AM62" s="44"/>
      <c r="AN62" s="102"/>
      <c r="AO62" s="32"/>
      <c r="AP62" s="32"/>
      <c r="AV62" s="14"/>
      <c r="AW62" s="14"/>
      <c r="AX62" s="14"/>
      <c r="AY62" s="14"/>
      <c r="AZ62" s="14"/>
      <c r="BC62" s="14"/>
      <c r="BD62" s="14"/>
      <c r="BE62" s="14"/>
    </row>
    <row r="63" spans="2:57">
      <c r="B63" s="32"/>
      <c r="C63" s="32"/>
      <c r="J63" s="14">
        <v>44</v>
      </c>
      <c r="K63" s="14">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44"/>
      <c r="AL63" s="44"/>
      <c r="AM63" s="44"/>
      <c r="AN63" s="102"/>
      <c r="AO63" s="32"/>
      <c r="AP63" s="32"/>
      <c r="AV63" s="14"/>
      <c r="AW63" s="14"/>
      <c r="AX63" s="14"/>
      <c r="AY63" s="14"/>
      <c r="AZ63" s="14"/>
      <c r="BC63" s="14"/>
      <c r="BD63" s="14"/>
      <c r="BE63" s="14"/>
    </row>
    <row r="64" spans="2:57">
      <c r="B64" s="32"/>
      <c r="C64" s="32"/>
      <c r="J64" s="14">
        <v>45</v>
      </c>
      <c r="K64" s="14">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44"/>
      <c r="AL64" s="44"/>
      <c r="AM64" s="44"/>
      <c r="AN64" s="102"/>
      <c r="AO64" s="32"/>
      <c r="AP64" s="32"/>
      <c r="AV64" s="14"/>
      <c r="AW64" s="14"/>
      <c r="AX64" s="14"/>
      <c r="AY64" s="14"/>
      <c r="AZ64" s="14"/>
      <c r="BC64" s="14"/>
      <c r="BD64" s="14"/>
      <c r="BE64" s="14"/>
    </row>
    <row r="65" spans="2:57">
      <c r="B65" s="32"/>
      <c r="C65" s="32"/>
      <c r="J65" s="14">
        <v>46</v>
      </c>
      <c r="K65" s="14">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44"/>
      <c r="AL65" s="44"/>
      <c r="AM65" s="44"/>
      <c r="AN65" s="102"/>
      <c r="AO65" s="32"/>
      <c r="AP65" s="32"/>
      <c r="AV65" s="14"/>
      <c r="AW65" s="14"/>
      <c r="AX65" s="14"/>
      <c r="AY65" s="14"/>
      <c r="AZ65" s="14"/>
      <c r="BC65" s="14"/>
      <c r="BD65" s="14"/>
      <c r="BE65" s="14"/>
    </row>
    <row r="66" spans="2:57">
      <c r="B66" s="32"/>
      <c r="C66" s="32"/>
      <c r="J66" s="14">
        <v>47</v>
      </c>
      <c r="K66" s="14">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44"/>
      <c r="AL66" s="44"/>
      <c r="AM66" s="44"/>
      <c r="AN66" s="102"/>
      <c r="AO66" s="32"/>
      <c r="AP66" s="32"/>
      <c r="AV66" s="14"/>
      <c r="AW66" s="14"/>
      <c r="AX66" s="14"/>
      <c r="AY66" s="14"/>
      <c r="AZ66" s="14"/>
      <c r="BC66" s="14"/>
      <c r="BD66" s="14"/>
      <c r="BE66" s="14"/>
    </row>
    <row r="67" spans="2:57">
      <c r="B67" s="32"/>
      <c r="C67" s="32"/>
      <c r="J67" s="14">
        <v>48</v>
      </c>
      <c r="K67" s="14">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44"/>
      <c r="AL67" s="44"/>
      <c r="AM67" s="44"/>
      <c r="AN67" s="102"/>
      <c r="AO67" s="32"/>
      <c r="AP67" s="32"/>
      <c r="AV67" s="14"/>
      <c r="AW67" s="14"/>
      <c r="AX67" s="14"/>
      <c r="AY67" s="14"/>
      <c r="AZ67" s="14"/>
      <c r="BC67" s="14"/>
      <c r="BD67" s="14"/>
      <c r="BE67" s="14"/>
    </row>
    <row r="68" spans="2:57">
      <c r="B68" s="32"/>
      <c r="C68" s="32"/>
      <c r="J68" s="14">
        <v>49</v>
      </c>
      <c r="K68" s="14">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44"/>
      <c r="AL68" s="44"/>
      <c r="AM68" s="44"/>
      <c r="AN68" s="102"/>
      <c r="AO68" s="32"/>
      <c r="AP68" s="32"/>
      <c r="AV68" s="14"/>
      <c r="AW68" s="14"/>
      <c r="AX68" s="14"/>
      <c r="AY68" s="14"/>
      <c r="AZ68" s="14"/>
      <c r="BC68" s="14"/>
      <c r="BD68" s="14"/>
      <c r="BE68" s="14"/>
    </row>
    <row r="69" spans="2:57">
      <c r="B69" s="32"/>
      <c r="C69" s="32"/>
      <c r="J69" s="14">
        <v>50</v>
      </c>
      <c r="K69" s="14">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44"/>
      <c r="AL69" s="44"/>
      <c r="AM69" s="44"/>
      <c r="AN69" s="102"/>
      <c r="AO69" s="32"/>
      <c r="AP69" s="32"/>
      <c r="AV69" s="14"/>
      <c r="AW69" s="14"/>
      <c r="AX69" s="14"/>
      <c r="AY69" s="14"/>
      <c r="AZ69" s="14"/>
      <c r="BC69" s="14"/>
      <c r="BD69" s="14"/>
      <c r="BE69" s="14"/>
    </row>
    <row r="70" spans="2:57">
      <c r="B70" s="32"/>
      <c r="C70" s="32"/>
      <c r="J70" s="14">
        <v>51</v>
      </c>
      <c r="K70" s="14">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44"/>
      <c r="AL70" s="44"/>
      <c r="AM70" s="44"/>
      <c r="AN70" s="102"/>
      <c r="AO70" s="32"/>
      <c r="AP70" s="32"/>
      <c r="AV70" s="14"/>
      <c r="AW70" s="14"/>
      <c r="AX70" s="14"/>
      <c r="AY70" s="14"/>
      <c r="AZ70" s="14"/>
      <c r="BC70" s="14"/>
      <c r="BD70" s="14"/>
      <c r="BE70" s="14"/>
    </row>
    <row r="71" spans="2:57">
      <c r="B71" s="32"/>
      <c r="C71" s="32"/>
      <c r="J71" s="14">
        <v>52</v>
      </c>
      <c r="K71" s="14">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44"/>
      <c r="AL71" s="44"/>
      <c r="AM71" s="44"/>
      <c r="AN71" s="102"/>
      <c r="AO71" s="32"/>
      <c r="AP71" s="32"/>
      <c r="AV71" s="14"/>
      <c r="AW71" s="14"/>
      <c r="AX71" s="14"/>
      <c r="AY71" s="14"/>
      <c r="AZ71" s="14"/>
      <c r="BC71" s="14"/>
      <c r="BD71" s="14"/>
      <c r="BE71" s="14"/>
    </row>
    <row r="72" spans="2:57">
      <c r="B72" s="32"/>
      <c r="C72" s="32"/>
      <c r="J72" s="14">
        <v>53</v>
      </c>
      <c r="K72" s="14">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44"/>
      <c r="AL72" s="44"/>
      <c r="AM72" s="44"/>
      <c r="AN72" s="102"/>
      <c r="AO72" s="32"/>
      <c r="AP72" s="32"/>
      <c r="AV72" s="14"/>
      <c r="AW72" s="14"/>
      <c r="AX72" s="14"/>
      <c r="AY72" s="14"/>
      <c r="AZ72" s="14"/>
      <c r="BC72" s="14"/>
      <c r="BD72" s="14"/>
      <c r="BE72" s="14"/>
    </row>
    <row r="73" spans="2:57">
      <c r="B73" s="32"/>
      <c r="C73" s="32"/>
      <c r="J73" s="14">
        <v>54</v>
      </c>
      <c r="K73" s="14">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44"/>
      <c r="AL73" s="44"/>
      <c r="AM73" s="44"/>
      <c r="AN73" s="102"/>
      <c r="AO73" s="32"/>
      <c r="AP73" s="32"/>
      <c r="AV73" s="14"/>
      <c r="AW73" s="14"/>
      <c r="AX73" s="14"/>
      <c r="AY73" s="14"/>
      <c r="AZ73" s="14"/>
      <c r="BC73" s="14"/>
      <c r="BD73" s="14"/>
      <c r="BE73" s="14"/>
    </row>
    <row r="74" spans="2:57">
      <c r="B74" s="32"/>
      <c r="C74" s="32"/>
      <c r="J74" s="14">
        <v>55</v>
      </c>
      <c r="K74" s="14">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44"/>
      <c r="AL74" s="44"/>
      <c r="AM74" s="44"/>
      <c r="AN74" s="102"/>
      <c r="AO74" s="32"/>
      <c r="AP74" s="32"/>
      <c r="AV74" s="14"/>
      <c r="AW74" s="14"/>
      <c r="AX74" s="14"/>
      <c r="AY74" s="14"/>
      <c r="AZ74" s="14"/>
      <c r="BC74" s="14"/>
      <c r="BD74" s="14"/>
      <c r="BE74" s="14"/>
    </row>
    <row r="75" spans="2:57">
      <c r="B75" s="32"/>
      <c r="C75" s="32"/>
      <c r="J75" s="14">
        <v>56</v>
      </c>
      <c r="K75" s="14">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44"/>
      <c r="AL75" s="44"/>
      <c r="AM75" s="44"/>
      <c r="AN75" s="102"/>
      <c r="AO75" s="32"/>
      <c r="AP75" s="32"/>
      <c r="AV75" s="14"/>
      <c r="AW75" s="14"/>
      <c r="AX75" s="14"/>
      <c r="AY75" s="14"/>
      <c r="AZ75" s="14"/>
      <c r="BC75" s="14"/>
      <c r="BD75" s="14"/>
      <c r="BE75" s="14"/>
    </row>
    <row r="76" spans="2:57">
      <c r="B76" s="32"/>
      <c r="C76" s="32"/>
      <c r="J76" s="14">
        <v>57</v>
      </c>
      <c r="K76" s="14">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44"/>
      <c r="AL76" s="44"/>
      <c r="AM76" s="44"/>
      <c r="AN76" s="102"/>
      <c r="AO76" s="32"/>
      <c r="AP76" s="32"/>
      <c r="AV76" s="14"/>
      <c r="AW76" s="14"/>
      <c r="AX76" s="14"/>
      <c r="AY76" s="14"/>
      <c r="AZ76" s="14"/>
      <c r="BC76" s="14"/>
      <c r="BD76" s="14"/>
      <c r="BE76" s="14"/>
    </row>
    <row r="77" spans="2:57">
      <c r="B77" s="32"/>
      <c r="C77" s="32"/>
      <c r="J77" s="14">
        <v>58</v>
      </c>
      <c r="K77" s="14">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44"/>
      <c r="AL77" s="44"/>
      <c r="AM77" s="44"/>
      <c r="AN77" s="102"/>
      <c r="AO77" s="32"/>
      <c r="AP77" s="32"/>
      <c r="AV77" s="14"/>
      <c r="AW77" s="14"/>
      <c r="AX77" s="14"/>
      <c r="AY77" s="14"/>
      <c r="AZ77" s="14"/>
      <c r="BC77" s="14"/>
      <c r="BD77" s="14"/>
      <c r="BE77" s="14"/>
    </row>
    <row r="78" spans="2:57">
      <c r="B78" s="32"/>
      <c r="C78" s="32"/>
      <c r="J78" s="14">
        <v>59</v>
      </c>
      <c r="K78" s="14">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44"/>
      <c r="AL78" s="44"/>
      <c r="AM78" s="44"/>
      <c r="AN78" s="102"/>
      <c r="AO78" s="32"/>
      <c r="AP78" s="32"/>
      <c r="AV78" s="14"/>
      <c r="AW78" s="14"/>
      <c r="AX78" s="14"/>
      <c r="AY78" s="14"/>
      <c r="AZ78" s="14"/>
      <c r="BC78" s="14"/>
      <c r="BD78" s="14"/>
      <c r="BE78" s="14"/>
    </row>
    <row r="79" spans="2:57">
      <c r="B79" s="32"/>
      <c r="C79" s="32"/>
      <c r="J79" s="14">
        <v>60</v>
      </c>
      <c r="K79" s="14">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 - _Saldo_Ciclico</f>
        <v>0</v>
      </c>
      <c r="AK79" s="44"/>
      <c r="AL79" s="44"/>
      <c r="AM79" s="44"/>
      <c r="AN79" s="102"/>
      <c r="AO79" s="32"/>
      <c r="AP79" s="32"/>
      <c r="AV79" s="14"/>
      <c r="AW79" s="14"/>
      <c r="AX79" s="14"/>
      <c r="AY79" s="14"/>
      <c r="AZ79" s="14"/>
      <c r="BC79" s="14"/>
      <c r="BD79" s="14"/>
      <c r="BE79" s="14"/>
    </row>
    <row r="80" spans="2:57">
      <c r="B80" s="32"/>
      <c r="C80" s="32"/>
      <c r="AK80" s="44"/>
      <c r="AL80" s="44"/>
      <c r="AM80" s="44"/>
      <c r="AN80" s="102"/>
      <c r="AO80" s="32"/>
      <c r="AP80" s="32"/>
    </row>
    <row r="81" spans="2:42">
      <c r="B81" s="32"/>
      <c r="C81" s="32"/>
      <c r="AK81" s="44"/>
      <c r="AL81" s="44"/>
      <c r="AM81" s="44"/>
      <c r="AN81" s="102"/>
      <c r="AO81" s="32"/>
      <c r="AP81" s="32"/>
    </row>
    <row r="82" spans="2:42">
      <c r="B82" s="32"/>
      <c r="C82" s="32"/>
      <c r="AK82" s="44"/>
      <c r="AL82" s="44"/>
      <c r="AM82" s="44"/>
      <c r="AN82" s="102"/>
      <c r="AO82" s="32"/>
      <c r="AP82" s="32"/>
    </row>
    <row r="83" spans="2:42">
      <c r="B83" s="32"/>
      <c r="C83" s="32"/>
      <c r="AK83" s="44"/>
      <c r="AL83" s="44"/>
      <c r="AM83" s="44"/>
      <c r="AN83" s="102"/>
      <c r="AO83" s="32"/>
      <c r="AP83" s="32"/>
    </row>
    <row r="84" spans="2:42">
      <c r="B84" s="32"/>
      <c r="C84" s="32"/>
      <c r="AK84" s="44"/>
      <c r="AL84" s="44"/>
      <c r="AM84" s="44"/>
      <c r="AN84" s="102"/>
      <c r="AO84" s="32"/>
      <c r="AP84" s="32"/>
    </row>
    <row r="85" spans="2:42">
      <c r="B85" s="32"/>
      <c r="C85" s="32"/>
      <c r="AK85" s="44"/>
      <c r="AL85" s="44"/>
      <c r="AM85" s="44"/>
      <c r="AN85" s="102"/>
      <c r="AO85" s="32"/>
      <c r="AP85" s="32"/>
    </row>
    <row r="86" spans="2:42">
      <c r="B86" s="32"/>
      <c r="C86" s="32"/>
      <c r="AK86" s="44"/>
      <c r="AL86" s="44"/>
      <c r="AM86" s="44"/>
      <c r="AN86" s="102"/>
      <c r="AO86" s="32"/>
      <c r="AP86" s="32"/>
    </row>
    <row r="87" spans="2:42">
      <c r="B87" s="32"/>
      <c r="C87" s="32"/>
      <c r="AK87" s="44"/>
      <c r="AL87" s="44"/>
      <c r="AM87" s="44"/>
      <c r="AN87" s="102"/>
      <c r="AO87" s="32"/>
      <c r="AP87" s="32"/>
    </row>
    <row r="88" spans="2:42">
      <c r="B88" s="32"/>
      <c r="C88" s="32"/>
      <c r="AK88" s="44"/>
      <c r="AL88" s="44"/>
      <c r="AM88" s="44"/>
      <c r="AN88" s="102"/>
      <c r="AO88" s="32"/>
      <c r="AP88" s="32"/>
    </row>
    <row r="89" spans="2:42">
      <c r="B89" s="32"/>
      <c r="C89" s="32"/>
      <c r="AK89" s="44"/>
      <c r="AL89" s="44"/>
      <c r="AM89" s="44"/>
      <c r="AN89" s="102"/>
      <c r="AO89" s="32"/>
      <c r="AP89" s="32"/>
    </row>
    <row r="90" spans="2:42">
      <c r="B90" s="32"/>
      <c r="C90" s="32"/>
      <c r="AK90" s="44"/>
      <c r="AL90" s="44"/>
      <c r="AM90" s="44"/>
      <c r="AN90" s="102"/>
      <c r="AO90" s="32"/>
      <c r="AP90" s="32"/>
    </row>
    <row r="91" spans="2:42">
      <c r="B91" s="32"/>
      <c r="C91" s="32"/>
      <c r="AK91" s="44"/>
      <c r="AL91" s="44"/>
      <c r="AM91" s="44"/>
      <c r="AN91" s="102"/>
      <c r="AO91" s="32"/>
      <c r="AP91" s="32"/>
    </row>
    <row r="92" spans="2:42">
      <c r="B92" s="32"/>
      <c r="C92" s="32"/>
      <c r="AO92" s="32"/>
      <c r="AP92" s="32"/>
    </row>
    <row r="93" spans="2:42">
      <c r="B93" s="32"/>
      <c r="C93" s="32"/>
      <c r="AO93" s="32"/>
      <c r="AP93" s="32"/>
    </row>
    <row r="94" spans="2:42">
      <c r="B94" s="32"/>
      <c r="C94" s="32"/>
    </row>
    <row r="95" spans="2:42">
      <c r="B95" s="32"/>
      <c r="C95" s="32"/>
    </row>
    <row r="96" spans="2:42">
      <c r="C96" s="32"/>
    </row>
    <row r="97" spans="2:3">
      <c r="C97" s="32"/>
    </row>
    <row r="98" spans="2:3">
      <c r="C98" s="32"/>
    </row>
    <row r="99" spans="2:3">
      <c r="B99" s="32"/>
      <c r="C99" s="32"/>
    </row>
    <row r="100" spans="2:3">
      <c r="B100" s="32"/>
      <c r="C100" s="32"/>
    </row>
    <row r="101" spans="2:3">
      <c r="B101" s="32"/>
      <c r="C101" s="32"/>
    </row>
    <row r="102" spans="2:3">
      <c r="B102" s="32"/>
      <c r="C102" s="32"/>
    </row>
    <row r="103" spans="2:3">
      <c r="B103" s="32"/>
      <c r="C103" s="32"/>
    </row>
    <row r="104" spans="2:3">
      <c r="B104" s="32"/>
      <c r="C104" s="32"/>
    </row>
  </sheetData>
  <mergeCells count="3">
    <mergeCell ref="J14:L14"/>
    <mergeCell ref="N14:O14"/>
    <mergeCell ref="AH14:AJ14"/>
  </mergeCells>
  <phoneticPr fontId="24" type="noConversion"/>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8">
    <tabColor theme="9" tint="0.39997558519241921"/>
  </sheetPr>
  <dimension ref="A1:BE79"/>
  <sheetViews>
    <sheetView zoomScale="85" zoomScaleNormal="85" workbookViewId="0"/>
    <sheetView workbookViewId="1"/>
  </sheetViews>
  <sheetFormatPr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5" width="16.7109375" style="350" customWidth="1"/>
    <col min="16" max="16" width="1.7109375" bestFit="1" customWidth="1"/>
    <col min="17" max="17" width="16.7109375" style="350" customWidth="1"/>
    <col min="18" max="18" width="1.7109375" bestFit="1" customWidth="1"/>
    <col min="19" max="22" width="16.7109375" style="350" customWidth="1"/>
    <col min="23" max="23" width="1.7109375" customWidth="1"/>
    <col min="24" max="24" width="16.7109375" style="350" customWidth="1"/>
    <col min="25" max="25" width="1.7109375" bestFit="1" customWidth="1"/>
    <col min="26" max="28" width="16.7109375" style="350" customWidth="1"/>
    <col min="29" max="29" width="1.7109375" bestFit="1" customWidth="1"/>
    <col min="30" max="30" width="16.7109375" customWidth="1"/>
    <col min="31" max="31" width="1.7109375" bestFit="1" customWidth="1"/>
    <col min="32" max="32" width="16.7109375" style="350" customWidth="1"/>
    <col min="33" max="33" width="1.42578125" style="350" customWidth="1"/>
    <col min="34" max="36" width="18.7109375" style="350" customWidth="1"/>
    <col min="37" max="39" width="9.140625" style="350" customWidth="1"/>
    <col min="40" max="40" width="12.5703125" style="350" customWidth="1"/>
    <col min="41" max="41" width="35.28515625" style="350" customWidth="1"/>
    <col min="42" max="42" width="36" style="350" customWidth="1"/>
    <col min="43" max="47" width="9.140625" style="350" customWidth="1"/>
    <col min="48" max="52" width="9.140625" customWidth="1"/>
    <col min="53" max="54" width="9.140625" style="350" customWidth="1"/>
    <col min="55" max="57" width="9.140625" customWidth="1"/>
    <col min="58" max="60" width="9.140625" style="350" customWidth="1"/>
    <col min="61" max="16384" width="9.140625" style="350"/>
  </cols>
  <sheetData>
    <row r="1" spans="1:57" s="670" customFormat="1">
      <c r="D1"/>
      <c r="H1" s="361"/>
      <c r="M1"/>
      <c r="P1"/>
      <c r="R1"/>
      <c r="W1"/>
      <c r="Y1"/>
      <c r="AC1"/>
      <c r="AD1"/>
      <c r="AE1"/>
      <c r="AV1"/>
      <c r="AW1"/>
      <c r="AX1"/>
      <c r="AY1"/>
      <c r="AZ1"/>
      <c r="BC1"/>
      <c r="BD1"/>
      <c r="BE1"/>
    </row>
    <row r="2" spans="1:57" ht="20.25" thickBot="1">
      <c r="A2" s="84"/>
      <c r="B2" s="84"/>
      <c r="C2" s="84"/>
      <c r="D2" s="12"/>
      <c r="E2" s="84"/>
      <c r="F2" s="84"/>
      <c r="G2" s="84"/>
      <c r="H2" s="356"/>
      <c r="I2" s="84"/>
      <c r="J2" s="357" t="s">
        <v>2498</v>
      </c>
      <c r="K2" s="281" t="s">
        <v>100</v>
      </c>
      <c r="L2" s="84"/>
      <c r="M2" s="12"/>
      <c r="N2" s="84"/>
      <c r="O2" s="84"/>
      <c r="P2" s="12"/>
      <c r="Q2" s="84"/>
      <c r="R2" s="12"/>
      <c r="S2" s="84"/>
      <c r="T2" s="84"/>
      <c r="U2" s="84"/>
      <c r="V2" s="84"/>
      <c r="W2" s="12"/>
      <c r="X2" s="84"/>
      <c r="Y2" s="12"/>
      <c r="Z2" s="84"/>
      <c r="AA2" s="84"/>
      <c r="AB2" s="84"/>
      <c r="AC2" s="12"/>
      <c r="AD2" s="12"/>
      <c r="AE2" s="12"/>
      <c r="AF2" s="84"/>
      <c r="AG2" s="84"/>
      <c r="AH2" s="84"/>
      <c r="AI2" s="84"/>
      <c r="AJ2" s="84"/>
      <c r="AK2"/>
      <c r="AL2"/>
      <c r="AM2" t="s">
        <v>555</v>
      </c>
      <c r="AN2"/>
      <c r="AO2"/>
    </row>
    <row r="3" spans="1:57" s="108" customFormat="1" ht="15.75" thickTop="1">
      <c r="D3"/>
      <c r="H3" s="358"/>
      <c r="J3" s="359" t="s">
        <v>1718</v>
      </c>
      <c r="K3" s="102" t="s">
        <v>2500</v>
      </c>
      <c r="M3" s="117"/>
      <c r="P3" s="117"/>
      <c r="Q3" s="117"/>
      <c r="R3" s="117"/>
      <c r="S3" s="117"/>
      <c r="T3" s="117"/>
      <c r="U3" s="117"/>
      <c r="V3" s="117"/>
      <c r="W3" s="117"/>
      <c r="X3" s="117"/>
      <c r="Y3" s="117"/>
      <c r="Z3" s="117"/>
      <c r="AA3" s="117"/>
      <c r="AB3" s="117"/>
      <c r="AC3" s="117"/>
      <c r="AD3" s="117"/>
      <c r="AE3" s="117"/>
      <c r="AF3" s="117"/>
      <c r="AG3" s="117"/>
      <c r="AH3" s="117"/>
      <c r="AI3" s="117"/>
      <c r="AJ3" s="117"/>
      <c r="AK3" s="117"/>
      <c r="AL3" s="117"/>
      <c r="AM3" s="117"/>
      <c r="AN3" s="117"/>
      <c r="AO3" s="117"/>
      <c r="AV3" s="117"/>
      <c r="AW3" s="117"/>
      <c r="AX3" s="117"/>
      <c r="AY3" s="117"/>
      <c r="AZ3" s="117"/>
      <c r="BC3" s="117"/>
      <c r="BD3" s="117"/>
      <c r="BE3" s="117"/>
    </row>
    <row r="4" spans="1:57" s="270" customFormat="1" hidden="1">
      <c r="B4"/>
      <c r="C4"/>
      <c r="D4"/>
      <c r="E4"/>
      <c r="F4"/>
      <c r="H4" s="360"/>
      <c r="M4" s="121"/>
      <c r="P4" s="121"/>
      <c r="Q4" s="121"/>
      <c r="R4" s="121"/>
      <c r="S4" s="121"/>
      <c r="T4" s="121"/>
      <c r="U4" s="121"/>
      <c r="V4" s="121"/>
      <c r="W4" s="121"/>
      <c r="X4" s="121"/>
      <c r="Y4" s="121"/>
      <c r="Z4" s="121"/>
      <c r="AA4" s="121"/>
      <c r="AB4" s="121"/>
      <c r="AC4" s="121"/>
      <c r="AD4" s="121"/>
      <c r="AE4" s="121"/>
      <c r="AF4" s="121"/>
      <c r="AG4" s="121"/>
      <c r="AH4" s="121"/>
      <c r="AI4" s="121"/>
      <c r="AJ4" s="121"/>
      <c r="AK4" s="121"/>
      <c r="AL4" s="121"/>
      <c r="AM4" s="121"/>
      <c r="AN4" s="121"/>
      <c r="AO4" s="121"/>
      <c r="AV4" s="121"/>
      <c r="AW4" s="121"/>
      <c r="AX4" s="121"/>
      <c r="AY4" s="121"/>
      <c r="AZ4" s="121"/>
      <c r="BC4" s="121"/>
      <c r="BD4" s="121"/>
      <c r="BE4" s="121"/>
    </row>
    <row r="5" spans="1:57" s="108" customFormat="1" hidden="1">
      <c r="B5"/>
      <c r="C5"/>
      <c r="D5"/>
      <c r="E5"/>
      <c r="F5"/>
      <c r="H5" s="358"/>
      <c r="J5" s="350"/>
      <c r="K5" s="350"/>
      <c r="L5" s="350"/>
      <c r="M5" s="117"/>
      <c r="N5" s="350"/>
      <c r="P5" s="117"/>
      <c r="Q5" s="117"/>
      <c r="R5" s="117"/>
      <c r="S5" s="117"/>
      <c r="T5" s="117"/>
      <c r="U5" s="117"/>
      <c r="V5" s="117"/>
      <c r="W5" s="117"/>
      <c r="X5" s="117"/>
      <c r="Y5" s="117"/>
      <c r="Z5" s="117"/>
      <c r="AA5" s="117"/>
      <c r="AB5" s="117"/>
      <c r="AC5" s="117"/>
      <c r="AD5" s="117"/>
      <c r="AE5" s="117"/>
      <c r="AF5" s="117"/>
      <c r="AG5" s="117"/>
      <c r="AH5" s="117"/>
      <c r="AI5" s="117"/>
      <c r="AJ5" s="117"/>
      <c r="AK5" s="117"/>
      <c r="AL5" s="117"/>
      <c r="AM5" s="117"/>
      <c r="AN5" s="117"/>
      <c r="AO5" s="117"/>
      <c r="AP5" s="117"/>
      <c r="AV5" s="117"/>
      <c r="AW5" s="117"/>
      <c r="AX5" s="117"/>
      <c r="AY5" s="117"/>
      <c r="AZ5" s="117"/>
      <c r="BC5" s="117"/>
      <c r="BD5" s="117"/>
      <c r="BE5" s="117"/>
    </row>
    <row r="6" spans="1:57" hidden="1">
      <c r="B6"/>
      <c r="C6"/>
      <c r="E6"/>
      <c r="F6"/>
      <c r="AG6"/>
      <c r="AK6"/>
      <c r="AL6"/>
      <c r="AM6"/>
      <c r="AN6"/>
      <c r="AO6"/>
      <c r="AP6" s="362"/>
    </row>
    <row r="7" spans="1:57" hidden="1">
      <c r="B7"/>
      <c r="C7"/>
      <c r="E7"/>
      <c r="F7"/>
      <c r="AG7"/>
      <c r="AK7"/>
      <c r="AL7"/>
      <c r="AM7"/>
      <c r="AN7"/>
      <c r="AO7"/>
    </row>
    <row r="8" spans="1:57" hidden="1">
      <c r="B8"/>
      <c r="C8"/>
      <c r="E8"/>
      <c r="F8"/>
      <c r="AG8"/>
      <c r="AK8"/>
      <c r="AL8"/>
      <c r="AM8"/>
      <c r="AN8"/>
      <c r="AO8"/>
    </row>
    <row r="9" spans="1:57" hidden="1">
      <c r="B9"/>
      <c r="C9"/>
      <c r="E9"/>
      <c r="F9"/>
      <c r="AD9" s="100"/>
    </row>
    <row r="10" spans="1:57" hidden="1">
      <c r="B10"/>
      <c r="C10"/>
      <c r="E10"/>
      <c r="F10"/>
      <c r="AD10" s="350"/>
      <c r="AO10" s="20"/>
      <c r="AP10" s="20"/>
    </row>
    <row r="11" spans="1:57" hidden="1">
      <c r="B11"/>
      <c r="C11"/>
      <c r="E11"/>
      <c r="F11"/>
      <c r="AD11" s="350"/>
      <c r="AO11" s="20"/>
      <c r="AP11" s="20"/>
    </row>
    <row r="12" spans="1:57" hidden="1">
      <c r="B12"/>
      <c r="C12"/>
      <c r="E12"/>
      <c r="F12"/>
      <c r="J12" s="113"/>
      <c r="K12" s="113"/>
      <c r="L12" s="108"/>
      <c r="N12" s="363"/>
    </row>
    <row r="13" spans="1:57">
      <c r="B13"/>
      <c r="C13"/>
      <c r="E13"/>
      <c r="F13"/>
      <c r="J13" s="114"/>
      <c r="K13" s="114"/>
    </row>
    <row r="14" spans="1:57">
      <c r="B14"/>
      <c r="C14"/>
      <c r="E14"/>
      <c r="F14"/>
      <c r="J14" s="918" t="s">
        <v>72</v>
      </c>
      <c r="K14" s="919"/>
      <c r="L14" s="920"/>
      <c r="N14" s="918" t="s">
        <v>73</v>
      </c>
      <c r="O14" s="920"/>
      <c r="Q14" s="364" t="s">
        <v>74</v>
      </c>
      <c r="R14" s="365"/>
      <c r="S14" s="365"/>
      <c r="T14" s="365"/>
      <c r="U14" s="365"/>
      <c r="V14" s="365"/>
      <c r="W14" s="365"/>
      <c r="X14" s="365"/>
      <c r="Y14" s="365"/>
      <c r="Z14" s="365"/>
      <c r="AA14" s="365"/>
      <c r="AB14" s="365"/>
      <c r="AC14" s="365"/>
      <c r="AD14" s="365"/>
      <c r="AE14" s="365"/>
      <c r="AF14" s="366"/>
      <c r="AH14" s="921" t="s">
        <v>1737</v>
      </c>
      <c r="AI14" s="921"/>
      <c r="AJ14" s="921"/>
      <c r="AV14" s="350"/>
      <c r="AW14" s="350"/>
      <c r="AX14" s="350"/>
      <c r="AY14" s="350"/>
      <c r="AZ14" s="350"/>
      <c r="BC14" s="350"/>
      <c r="BD14" s="350"/>
      <c r="BE14" s="350"/>
    </row>
    <row r="15" spans="1:57" s="108" customFormat="1">
      <c r="B15"/>
      <c r="C15"/>
      <c r="D15"/>
      <c r="E15"/>
      <c r="F15"/>
      <c r="H15" s="358"/>
      <c r="J15" s="117"/>
      <c r="K15" s="117"/>
      <c r="M15"/>
      <c r="P15"/>
      <c r="R15"/>
      <c r="W15"/>
      <c r="Y15"/>
      <c r="AC15"/>
      <c r="AE15"/>
    </row>
    <row r="16" spans="1:57" s="90" customFormat="1" ht="30">
      <c r="A16" s="90" t="s">
        <v>555</v>
      </c>
      <c r="B16" s="367" t="s">
        <v>1734</v>
      </c>
      <c r="C16" s="358"/>
      <c r="D16" t="s">
        <v>555</v>
      </c>
      <c r="E16" s="367" t="s">
        <v>489</v>
      </c>
      <c r="F16" s="358"/>
      <c r="G16" s="90" t="s">
        <v>555</v>
      </c>
      <c r="H16" s="368" t="s">
        <v>555</v>
      </c>
      <c r="I16" s="90" t="s">
        <v>555</v>
      </c>
      <c r="J16" s="369" t="s">
        <v>75</v>
      </c>
      <c r="K16" s="369" t="s">
        <v>1721</v>
      </c>
      <c r="L16" s="369" t="s">
        <v>1720</v>
      </c>
      <c r="M16"/>
      <c r="N16" s="370" t="s">
        <v>76</v>
      </c>
      <c r="O16" s="371" t="s">
        <v>63</v>
      </c>
      <c r="P16" t="s">
        <v>555</v>
      </c>
      <c r="Q16" s="372" t="s">
        <v>1699</v>
      </c>
      <c r="R16"/>
      <c r="S16" s="373" t="s">
        <v>32</v>
      </c>
      <c r="T16" s="373" t="s">
        <v>177</v>
      </c>
      <c r="U16" s="373" t="s">
        <v>178</v>
      </c>
      <c r="V16" s="372" t="s">
        <v>1701</v>
      </c>
      <c r="W16"/>
      <c r="X16" s="372" t="s">
        <v>492</v>
      </c>
      <c r="Y16"/>
      <c r="Z16" s="373" t="s">
        <v>77</v>
      </c>
      <c r="AA16" s="373" t="s">
        <v>78</v>
      </c>
      <c r="AB16" s="372" t="s">
        <v>1700</v>
      </c>
      <c r="AC16"/>
      <c r="AD16" s="372" t="s">
        <v>1702</v>
      </c>
      <c r="AE16"/>
      <c r="AF16" s="372" t="s">
        <v>1703</v>
      </c>
      <c r="AG16" s="90" t="s">
        <v>555</v>
      </c>
      <c r="AH16" s="373" t="s">
        <v>79</v>
      </c>
      <c r="AI16" s="373" t="s">
        <v>80</v>
      </c>
      <c r="AJ16" s="372" t="s">
        <v>1712</v>
      </c>
    </row>
    <row r="17" spans="2:57">
      <c r="B17" s="102" t="s">
        <v>43</v>
      </c>
      <c r="C17" s="374">
        <f ca="1">'Configuración de Tablas'!H27</f>
        <v>0</v>
      </c>
      <c r="E17" s="289" t="s">
        <v>56</v>
      </c>
      <c r="F17" s="274">
        <f ca="1" xml:space="preserve"> Tasa.Interes / Periodos.Por.Año</f>
        <v>1.0750000000000001E-2</v>
      </c>
      <c r="K17"/>
      <c r="AD17" s="350"/>
      <c r="AV17" s="350"/>
      <c r="AW17" s="350"/>
      <c r="AX17" s="350"/>
      <c r="AY17" s="350"/>
      <c r="AZ17" s="350"/>
      <c r="BC17" s="350"/>
      <c r="BD17" s="350"/>
      <c r="BE17" s="350"/>
    </row>
    <row r="18" spans="2:57">
      <c r="B18" s="290" t="s">
        <v>44</v>
      </c>
      <c r="C18" s="375">
        <f>'Configuración de Tablas'!H28</f>
        <v>30</v>
      </c>
      <c r="E18" s="289" t="s">
        <v>55</v>
      </c>
      <c r="F18" s="274">
        <f ca="1" xml:space="preserve"> Tasa.Interes / Dias.En.Año</f>
        <v>3.5833333333333333E-4</v>
      </c>
      <c r="J18" s="376"/>
      <c r="K18"/>
      <c r="V18" s="377">
        <f ca="1">SUM(_Interes)</f>
        <v>0</v>
      </c>
      <c r="X18" s="377">
        <f ca="1">SUM(_Iva)</f>
        <v>0</v>
      </c>
      <c r="Z18" s="377"/>
      <c r="AA18" s="377"/>
      <c r="AB18" s="377">
        <f ca="1">SUM(_Capital)</f>
        <v>0</v>
      </c>
      <c r="AD18" s="377"/>
      <c r="AF18" s="377"/>
      <c r="AH18" s="377"/>
      <c r="AI18" s="377"/>
      <c r="AJ18" s="377"/>
      <c r="AK18" s="378"/>
      <c r="AL18" s="378"/>
      <c r="AM18" s="378" t="s">
        <v>81</v>
      </c>
      <c r="AV18" s="350"/>
      <c r="AW18" s="350"/>
      <c r="AX18" s="350"/>
      <c r="AY18" s="350"/>
      <c r="AZ18" s="350"/>
      <c r="BC18" s="350"/>
      <c r="BD18" s="350"/>
      <c r="BE18" s="350"/>
    </row>
    <row r="19" spans="2:57">
      <c r="B19" s="290" t="s">
        <v>1731</v>
      </c>
      <c r="C19" s="375">
        <f ca="1">'Configuración de Tablas'!H29</f>
        <v>12</v>
      </c>
      <c r="E19" s="289" t="s">
        <v>54</v>
      </c>
      <c r="F19" s="274">
        <f ca="1" xml:space="preserve"> Tasa.Diaria * Dias.Por.Periodo</f>
        <v>1.0749999999999999E-2</v>
      </c>
      <c r="K19"/>
      <c r="AD19" s="350"/>
      <c r="AV19" s="350"/>
      <c r="AW19" s="350"/>
      <c r="AX19" s="350"/>
      <c r="AY19" s="350"/>
      <c r="AZ19" s="350"/>
      <c r="BC19" s="350"/>
      <c r="BD19" s="350"/>
      <c r="BE19" s="350"/>
    </row>
    <row r="20" spans="2:57">
      <c r="B20" s="290" t="s">
        <v>1728</v>
      </c>
      <c r="C20" s="375">
        <f ca="1">'Configuración de Tablas'!H30</f>
        <v>12</v>
      </c>
      <c r="E20" s="290" t="s">
        <v>53</v>
      </c>
      <c r="F20" s="116">
        <f ca="1">IF( Tabla.Ciclica.Anual?, Periodos.Por.Año, Numero.Pagos )</f>
        <v>12</v>
      </c>
      <c r="J20" s="350">
        <v>1</v>
      </c>
      <c r="K20" s="350">
        <f t="shared" ref="K20:K51" ca="1" si="0">MOD( _Amortizacion - 1, Periodos.Por.Ciclo ) + 1</f>
        <v>1</v>
      </c>
      <c r="L20" s="32">
        <f t="shared" ref="L20:L51" ca="1" si="1">INT(( _Amortizacion - 1 ) / Periodos.Por.Ciclo ) + 1</f>
        <v>1</v>
      </c>
      <c r="N20" s="20">
        <f t="shared" ref="N20:N78" ca="1" si="2">( ( Monto.Financiar + ( Monto.Extra.Ciclo.1 * ( _Ciclo = 1 ) ) ) * ( _Ciclicas = 1 )) * ( _Amortizacion &lt;= Numero.Pagos )</f>
        <v>0</v>
      </c>
      <c r="O20" s="97">
        <f t="shared" ref="O20:O51" ca="1" si="3" xml:space="preserve"> ( Pago.Fijo + ( Pago.Extra.Ciclo.1 * ( _Ciclo = 1 ) ) ) * ( _Amortizacion &lt;= Numero.Pagos )</f>
        <v>0</v>
      </c>
      <c r="Q20" s="20">
        <f ca="1">_Saldo_Ciclico</f>
        <v>0</v>
      </c>
      <c r="S20" s="20">
        <f t="shared" ref="S20:S78" ca="1" si="4">_Saldo_Inicial * Tasa.Diaria</f>
        <v>0</v>
      </c>
      <c r="T20" s="20">
        <f t="shared" ref="T20:T78" ca="1" si="5" xml:space="preserve"> _Interes_Diario * Dias.Por.Periodo</f>
        <v>0</v>
      </c>
      <c r="U20" s="20">
        <f>Fechas!_Dias_Interes_Pago</f>
        <v>20</v>
      </c>
      <c r="V20" s="20">
        <f t="shared" ref="V20:V78" ca="1" si="6" xml:space="preserve"> _Interes_Diario * _Dias_Interes_Periodo</f>
        <v>0</v>
      </c>
      <c r="X20" s="20">
        <f t="shared" ref="X20:X78" ca="1" si="7" xml:space="preserve"> _Interes * Iva.Intereses</f>
        <v>0</v>
      </c>
      <c r="Z20" s="97">
        <f t="shared" ref="Z20:Z78" ca="1" si="8" xml:space="preserve"> _Pago_Fijo - ( _Interes_Periodo_Regular * ( 1 + Iva.Intereses ) )</f>
        <v>0</v>
      </c>
      <c r="AA20" s="97">
        <f t="shared" ref="AA20:AA78" ca="1" si="9">_Saldo_Inicial * ( _Amortizacion = Numero.Pagos )</f>
        <v>0</v>
      </c>
      <c r="AB20" s="97">
        <f ca="1">MAX( _Calculo_Capital _Actual, _Stopper_Capital _Actual )</f>
        <v>0</v>
      </c>
      <c r="AD20" s="97">
        <f t="shared" ref="AD20:AD78" ca="1" si="10" xml:space="preserve"> _Capital + _Interes + _Iva</f>
        <v>0</v>
      </c>
      <c r="AF20" s="97">
        <f ca="1">MAX(_Saldo_Inicial _Actual - _Capital _Actual, 0)</f>
        <v>0</v>
      </c>
      <c r="AH20" s="292">
        <f>Fechas!_Dias_Interes_CAT</f>
        <v>30</v>
      </c>
      <c r="AI20" s="97">
        <f t="shared" ref="AI20:AI78" ca="1" si="11" xml:space="preserve"> _Interes_Diario * _Dias_Cat</f>
        <v>0</v>
      </c>
      <c r="AJ20" s="293">
        <f t="shared" ref="AJ20:AJ78" ca="1" si="12" xml:space="preserve"> _Capital + _Interes_CAT</f>
        <v>0</v>
      </c>
      <c r="AK20" s="376"/>
      <c r="AL20" s="376"/>
      <c r="AM20" s="376" t="s">
        <v>82</v>
      </c>
      <c r="AO20" s="102" t="s">
        <v>83</v>
      </c>
      <c r="AV20" s="350"/>
      <c r="AW20" s="350"/>
      <c r="AX20" s="350"/>
      <c r="AY20" s="350"/>
      <c r="AZ20" s="350"/>
      <c r="BC20" s="350"/>
      <c r="BD20" s="350"/>
      <c r="BE20" s="350"/>
    </row>
    <row r="21" spans="2:57">
      <c r="B21" s="290" t="s">
        <v>1729</v>
      </c>
      <c r="C21" s="379">
        <f ca="1">'Configuración de Tablas'!H31</f>
        <v>0.12</v>
      </c>
      <c r="J21" s="350">
        <v>2</v>
      </c>
      <c r="K21" s="350">
        <f t="shared" ca="1" si="0"/>
        <v>2</v>
      </c>
      <c r="L21" s="32">
        <f t="shared" ca="1" si="1"/>
        <v>1</v>
      </c>
      <c r="N21" s="20">
        <f t="shared" ca="1" si="2"/>
        <v>0</v>
      </c>
      <c r="O21" s="97">
        <f t="shared" ca="1" si="3"/>
        <v>0</v>
      </c>
      <c r="Q21" s="97">
        <f ca="1">MAX( _Saldo_Final _Anterior + _Saldo_Ciclico, 0)</f>
        <v>0</v>
      </c>
      <c r="S21" s="20">
        <f t="shared" ca="1" si="4"/>
        <v>0</v>
      </c>
      <c r="T21" s="20">
        <f t="shared" ca="1" si="5"/>
        <v>0</v>
      </c>
      <c r="U21" s="20">
        <f>Fechas!_Dias_Interes_Pago</f>
        <v>30</v>
      </c>
      <c r="V21" s="20">
        <f t="shared" ca="1" si="6"/>
        <v>0</v>
      </c>
      <c r="X21" s="97">
        <f t="shared" ca="1" si="7"/>
        <v>0</v>
      </c>
      <c r="Z21" s="97">
        <f t="shared" ca="1" si="8"/>
        <v>0</v>
      </c>
      <c r="AA21" s="97">
        <f t="shared" ca="1" si="9"/>
        <v>0</v>
      </c>
      <c r="AB21" s="97">
        <f ca="1">MAX( _Calculo_Capital _Actual, _Stopper_Capital _Actual )</f>
        <v>0</v>
      </c>
      <c r="AD21" s="97">
        <f t="shared" ca="1" si="10"/>
        <v>0</v>
      </c>
      <c r="AF21" s="97">
        <f ca="1">MAX(_Saldo_Inicial _Actual - _Capital _Actual, 0)</f>
        <v>0</v>
      </c>
      <c r="AH21" s="292">
        <f>Fechas!_Dias_Interes_CAT</f>
        <v>30</v>
      </c>
      <c r="AI21" s="97">
        <f t="shared" ca="1" si="11"/>
        <v>0</v>
      </c>
      <c r="AJ21" s="293">
        <f t="shared" ca="1" si="12"/>
        <v>0</v>
      </c>
      <c r="AK21" s="376"/>
      <c r="AL21" s="376"/>
      <c r="AO21" s="102" t="s">
        <v>84</v>
      </c>
      <c r="AV21" s="350"/>
      <c r="AW21" s="350"/>
      <c r="AX21" s="350"/>
      <c r="AY21" s="350"/>
      <c r="AZ21" s="350"/>
      <c r="BC21" s="350"/>
      <c r="BD21" s="350"/>
      <c r="BE21" s="350"/>
    </row>
    <row r="22" spans="2:57">
      <c r="B22" s="290" t="s">
        <v>1714</v>
      </c>
      <c r="C22" s="379">
        <f ca="1">'Configuración de Tablas'!H32</f>
        <v>0.129</v>
      </c>
      <c r="E22" s="102" t="s">
        <v>85</v>
      </c>
      <c r="F22" s="20">
        <f ca="1">-PPMT(Tasa.Por.Periodo*(1+Iva.Intereses),1,Periodos.Por.Ciclo,Monto.Financiar)</f>
        <v>0</v>
      </c>
      <c r="J22" s="350">
        <v>3</v>
      </c>
      <c r="K22" s="350">
        <f t="shared" ca="1" si="0"/>
        <v>3</v>
      </c>
      <c r="L22" s="32">
        <f t="shared" ca="1" si="1"/>
        <v>1</v>
      </c>
      <c r="N22" s="20">
        <f t="shared" ca="1" si="2"/>
        <v>0</v>
      </c>
      <c r="O22" s="97">
        <f t="shared" ca="1" si="3"/>
        <v>0</v>
      </c>
      <c r="Q22" s="97">
        <f ca="1">MAX( _Saldo_Final _Anterior + _Saldo_Ciclico, 0)</f>
        <v>0</v>
      </c>
      <c r="S22" s="20">
        <f t="shared" ca="1" si="4"/>
        <v>0</v>
      </c>
      <c r="T22" s="20">
        <f t="shared" ca="1" si="5"/>
        <v>0</v>
      </c>
      <c r="U22" s="20">
        <f>Fechas!_Dias_Interes_Pago</f>
        <v>30</v>
      </c>
      <c r="V22" s="20">
        <f t="shared" ca="1" si="6"/>
        <v>0</v>
      </c>
      <c r="X22" s="97">
        <f t="shared" ca="1" si="7"/>
        <v>0</v>
      </c>
      <c r="Z22" s="97">
        <f t="shared" ca="1" si="8"/>
        <v>0</v>
      </c>
      <c r="AA22" s="97">
        <f t="shared" ca="1" si="9"/>
        <v>0</v>
      </c>
      <c r="AB22" s="97">
        <f ca="1">MAX( _Calculo_Capital _Actual, _Stopper_Capital _Actual )</f>
        <v>0</v>
      </c>
      <c r="AD22" s="97">
        <f t="shared" ca="1" si="10"/>
        <v>0</v>
      </c>
      <c r="AF22" s="97">
        <f ca="1">MAX(_Saldo_Inicial _Actual - _Capital _Actual, 0)</f>
        <v>0</v>
      </c>
      <c r="AH22" s="292">
        <f>Fechas!_Dias_Interes_CAT</f>
        <v>30</v>
      </c>
      <c r="AI22" s="97">
        <f t="shared" ca="1" si="11"/>
        <v>0</v>
      </c>
      <c r="AJ22" s="293">
        <f t="shared" ca="1" si="12"/>
        <v>0</v>
      </c>
      <c r="AK22" s="376"/>
      <c r="AL22" s="376"/>
      <c r="AM22" s="376"/>
      <c r="AO22" s="102" t="s">
        <v>86</v>
      </c>
      <c r="AV22" s="350"/>
      <c r="AW22" s="350"/>
      <c r="AX22" s="350"/>
      <c r="AY22" s="350"/>
      <c r="AZ22" s="350"/>
      <c r="BC22" s="350"/>
      <c r="BD22" s="350"/>
      <c r="BE22" s="350"/>
    </row>
    <row r="23" spans="2:57">
      <c r="B23" s="290" t="s">
        <v>38</v>
      </c>
      <c r="C23" s="374">
        <f>'Configuración de Tablas'!H33</f>
        <v>360</v>
      </c>
      <c r="E23" s="102" t="s">
        <v>87</v>
      </c>
      <c r="F23" s="20">
        <f ca="1">-IPMT(Tasa.Diaria.Por.Periodo*(1+Iva.Intereses),1,Periodos.Por.Ciclo,Monto.Financiar)</f>
        <v>0</v>
      </c>
      <c r="J23" s="350">
        <v>4</v>
      </c>
      <c r="K23" s="350">
        <f t="shared" ca="1" si="0"/>
        <v>4</v>
      </c>
      <c r="L23" s="32">
        <f t="shared" ca="1" si="1"/>
        <v>1</v>
      </c>
      <c r="N23" s="20">
        <f t="shared" ca="1" si="2"/>
        <v>0</v>
      </c>
      <c r="O23" s="97">
        <f t="shared" ca="1" si="3"/>
        <v>0</v>
      </c>
      <c r="Q23" s="97">
        <f ca="1">MAX( _Saldo_Final _Anterior + _Saldo_Ciclico, 0)</f>
        <v>0</v>
      </c>
      <c r="S23" s="20">
        <f t="shared" ca="1" si="4"/>
        <v>0</v>
      </c>
      <c r="T23" s="20">
        <f t="shared" ca="1" si="5"/>
        <v>0</v>
      </c>
      <c r="U23" s="20">
        <f>Fechas!_Dias_Interes_Pago</f>
        <v>30</v>
      </c>
      <c r="V23" s="20">
        <f t="shared" ca="1" si="6"/>
        <v>0</v>
      </c>
      <c r="X23" s="97">
        <f t="shared" ca="1" si="7"/>
        <v>0</v>
      </c>
      <c r="Z23" s="97">
        <f t="shared" ca="1" si="8"/>
        <v>0</v>
      </c>
      <c r="AA23" s="97">
        <f t="shared" ca="1" si="9"/>
        <v>0</v>
      </c>
      <c r="AB23" s="97">
        <f ca="1">MAX( _Calculo_Capital _Actual, _Stopper_Capital _Actual )</f>
        <v>0</v>
      </c>
      <c r="AD23" s="97">
        <f t="shared" ca="1" si="10"/>
        <v>0</v>
      </c>
      <c r="AF23" s="97">
        <f ca="1">MAX(_Saldo_Inicial _Actual - _Capital _Actual, 0)</f>
        <v>0</v>
      </c>
      <c r="AH23" s="292">
        <f>Fechas!_Dias_Interes_CAT</f>
        <v>30</v>
      </c>
      <c r="AI23" s="97">
        <f t="shared" ca="1" si="11"/>
        <v>0</v>
      </c>
      <c r="AJ23" s="293">
        <f t="shared" ca="1" si="12"/>
        <v>0</v>
      </c>
      <c r="AK23" s="376"/>
      <c r="AL23" s="376"/>
      <c r="AM23" s="376"/>
      <c r="AO23" s="102" t="s">
        <v>88</v>
      </c>
      <c r="AV23" s="350"/>
      <c r="AW23" s="350"/>
      <c r="AX23" s="350"/>
      <c r="AY23" s="350"/>
      <c r="AZ23" s="350"/>
      <c r="BC23" s="350"/>
      <c r="BD23" s="350"/>
      <c r="BE23" s="350"/>
    </row>
    <row r="24" spans="2:57">
      <c r="B24" s="102" t="s">
        <v>66</v>
      </c>
      <c r="C24" s="380" t="str">
        <f>'Configuración de Tablas'!H34</f>
        <v>Fechas!_Dias_Interes_Pago</v>
      </c>
      <c r="E24" s="99" t="s">
        <v>89</v>
      </c>
      <c r="F24" s="20">
        <f ca="1">SUM(Componentes.Pago.Fijo)</f>
        <v>0</v>
      </c>
      <c r="J24" s="350">
        <v>5</v>
      </c>
      <c r="K24" s="350">
        <f t="shared" ca="1" si="0"/>
        <v>5</v>
      </c>
      <c r="L24" s="32">
        <f t="shared" ca="1" si="1"/>
        <v>1</v>
      </c>
      <c r="N24" s="20">
        <f t="shared" ca="1" si="2"/>
        <v>0</v>
      </c>
      <c r="O24" s="97">
        <f t="shared" ca="1" si="3"/>
        <v>0</v>
      </c>
      <c r="Q24" s="97">
        <f ca="1">MAX( _Saldo_Final _Anterior + _Saldo_Ciclico, 0)</f>
        <v>0</v>
      </c>
      <c r="S24" s="20">
        <f t="shared" ca="1" si="4"/>
        <v>0</v>
      </c>
      <c r="T24" s="20">
        <f t="shared" ca="1" si="5"/>
        <v>0</v>
      </c>
      <c r="U24" s="20">
        <f>Fechas!_Dias_Interes_Pago</f>
        <v>30</v>
      </c>
      <c r="V24" s="20">
        <f t="shared" ca="1" si="6"/>
        <v>0</v>
      </c>
      <c r="X24" s="97">
        <f t="shared" ca="1" si="7"/>
        <v>0</v>
      </c>
      <c r="Z24" s="97">
        <f t="shared" ca="1" si="8"/>
        <v>0</v>
      </c>
      <c r="AA24" s="97">
        <f t="shared" ca="1" si="9"/>
        <v>0</v>
      </c>
      <c r="AB24" s="97">
        <f ca="1">MAX( _Calculo_Capital _Actual, _Stopper_Capital _Actual )</f>
        <v>0</v>
      </c>
      <c r="AD24" s="97">
        <f t="shared" ca="1" si="10"/>
        <v>0</v>
      </c>
      <c r="AF24" s="97">
        <f ca="1">MAX(_Saldo_Inicial _Actual - _Capital _Actual, 0)</f>
        <v>0</v>
      </c>
      <c r="AH24" s="292">
        <f>Fechas!_Dias_Interes_CAT</f>
        <v>30</v>
      </c>
      <c r="AI24" s="97">
        <f t="shared" ca="1" si="11"/>
        <v>0</v>
      </c>
      <c r="AJ24" s="293">
        <f t="shared" ca="1" si="12"/>
        <v>0</v>
      </c>
      <c r="AK24" s="376"/>
      <c r="AL24" s="376"/>
      <c r="AM24" s="376" t="s">
        <v>70</v>
      </c>
      <c r="AO24" s="102" t="s">
        <v>90</v>
      </c>
      <c r="AV24" s="350"/>
      <c r="AW24" s="350"/>
      <c r="AX24" s="350"/>
      <c r="AY24" s="350"/>
      <c r="AZ24" s="350"/>
      <c r="BC24" s="350"/>
      <c r="BD24" s="350"/>
      <c r="BE24" s="350"/>
    </row>
    <row r="25" spans="2:57">
      <c r="B25" s="102" t="s">
        <v>67</v>
      </c>
      <c r="C25" s="381" t="b">
        <f>'Configuración de Tablas'!H35</f>
        <v>1</v>
      </c>
      <c r="J25" s="350">
        <v>6</v>
      </c>
      <c r="K25" s="350">
        <f t="shared" ca="1" si="0"/>
        <v>6</v>
      </c>
      <c r="L25" s="32">
        <f t="shared" ca="1" si="1"/>
        <v>1</v>
      </c>
      <c r="N25" s="20">
        <f t="shared" ca="1" si="2"/>
        <v>0</v>
      </c>
      <c r="O25" s="97">
        <f t="shared" ca="1" si="3"/>
        <v>0</v>
      </c>
      <c r="Q25" s="97">
        <f ca="1">MAX( _Saldo_Final _Anterior + _Saldo_Ciclico, 0)</f>
        <v>0</v>
      </c>
      <c r="S25" s="20">
        <f t="shared" ca="1" si="4"/>
        <v>0</v>
      </c>
      <c r="T25" s="20">
        <f t="shared" ca="1" si="5"/>
        <v>0</v>
      </c>
      <c r="U25" s="20">
        <f>Fechas!_Dias_Interes_Pago</f>
        <v>30</v>
      </c>
      <c r="V25" s="20">
        <f t="shared" ca="1" si="6"/>
        <v>0</v>
      </c>
      <c r="X25" s="97">
        <f t="shared" ca="1" si="7"/>
        <v>0</v>
      </c>
      <c r="Z25" s="97">
        <f t="shared" ca="1" si="8"/>
        <v>0</v>
      </c>
      <c r="AA25" s="97">
        <f t="shared" ca="1" si="9"/>
        <v>0</v>
      </c>
      <c r="AB25" s="97">
        <f ca="1">MAX( _Calculo_Capital _Actual, _Stopper_Capital _Actual )</f>
        <v>0</v>
      </c>
      <c r="AD25" s="97">
        <f t="shared" ca="1" si="10"/>
        <v>0</v>
      </c>
      <c r="AF25" s="97">
        <f ca="1">MAX(_Saldo_Inicial _Actual - _Capital _Actual, 0)</f>
        <v>0</v>
      </c>
      <c r="AH25" s="292">
        <f>Fechas!_Dias_Interes_CAT</f>
        <v>30</v>
      </c>
      <c r="AI25" s="97">
        <f t="shared" ca="1" si="11"/>
        <v>0</v>
      </c>
      <c r="AJ25" s="293">
        <f t="shared" ca="1" si="12"/>
        <v>0</v>
      </c>
      <c r="AK25" s="376"/>
      <c r="AL25" s="376"/>
      <c r="AO25" s="102" t="s">
        <v>107</v>
      </c>
      <c r="AV25" s="350"/>
      <c r="AW25" s="350"/>
      <c r="AX25" s="350"/>
      <c r="AY25" s="350"/>
      <c r="AZ25" s="350"/>
      <c r="BC25" s="350"/>
      <c r="BD25" s="350"/>
      <c r="BE25" s="350"/>
    </row>
    <row r="26" spans="2:57">
      <c r="B26" s="102" t="s">
        <v>68</v>
      </c>
      <c r="C26" s="374">
        <f ca="1">'Configuración de Tablas'!H36</f>
        <v>0</v>
      </c>
      <c r="E26" s="102" t="s">
        <v>91</v>
      </c>
      <c r="F26" s="20">
        <f ca="1">-PPMT(Tasa.Por.Periodo*(1+Iva.Intereses),1,Periodos.Por.Ciclo,Monto.Extra.Ciclo.1)</f>
        <v>0</v>
      </c>
      <c r="J26" s="350">
        <v>7</v>
      </c>
      <c r="K26" s="350">
        <f t="shared" ca="1" si="0"/>
        <v>7</v>
      </c>
      <c r="L26" s="32">
        <f t="shared" ca="1" si="1"/>
        <v>1</v>
      </c>
      <c r="N26" s="20">
        <f t="shared" ca="1" si="2"/>
        <v>0</v>
      </c>
      <c r="O26" s="97">
        <f t="shared" ca="1" si="3"/>
        <v>0</v>
      </c>
      <c r="Q26" s="97">
        <f ca="1">MAX( _Saldo_Final _Anterior + _Saldo_Ciclico, 0)</f>
        <v>0</v>
      </c>
      <c r="S26" s="20">
        <f t="shared" ca="1" si="4"/>
        <v>0</v>
      </c>
      <c r="T26" s="20">
        <f t="shared" ca="1" si="5"/>
        <v>0</v>
      </c>
      <c r="U26" s="20">
        <f>Fechas!_Dias_Interes_Pago</f>
        <v>30</v>
      </c>
      <c r="V26" s="20">
        <f t="shared" ca="1" si="6"/>
        <v>0</v>
      </c>
      <c r="X26" s="97">
        <f t="shared" ca="1" si="7"/>
        <v>0</v>
      </c>
      <c r="Z26" s="97">
        <f t="shared" ca="1" si="8"/>
        <v>0</v>
      </c>
      <c r="AA26" s="97">
        <f t="shared" ca="1" si="9"/>
        <v>0</v>
      </c>
      <c r="AB26" s="97">
        <f ca="1">MAX( _Calculo_Capital _Actual, _Stopper_Capital _Actual )</f>
        <v>0</v>
      </c>
      <c r="AD26" s="97">
        <f t="shared" ca="1" si="10"/>
        <v>0</v>
      </c>
      <c r="AF26" s="97">
        <f ca="1">MAX(_Saldo_Inicial _Actual - _Capital _Actual, 0)</f>
        <v>0</v>
      </c>
      <c r="AH26" s="292">
        <f>Fechas!_Dias_Interes_CAT</f>
        <v>30</v>
      </c>
      <c r="AI26" s="97">
        <f t="shared" ca="1" si="11"/>
        <v>0</v>
      </c>
      <c r="AJ26" s="293">
        <f t="shared" ca="1" si="12"/>
        <v>0</v>
      </c>
      <c r="AK26" s="376"/>
      <c r="AL26" s="376"/>
      <c r="AO26" s="102" t="s">
        <v>109</v>
      </c>
      <c r="AV26" s="350"/>
      <c r="AW26" s="350"/>
      <c r="AX26" s="350"/>
      <c r="AY26" s="350"/>
      <c r="AZ26" s="350"/>
      <c r="BC26" s="350"/>
      <c r="BD26" s="350"/>
      <c r="BE26" s="350"/>
    </row>
    <row r="27" spans="2:57">
      <c r="B27" s="102" t="s">
        <v>69</v>
      </c>
      <c r="C27" s="374" t="str">
        <f>'Configuración de Tablas'!H37</f>
        <v>Fechas!_Dias_Interes_CAT</v>
      </c>
      <c r="E27" s="102" t="s">
        <v>92</v>
      </c>
      <c r="F27" s="20">
        <f ca="1">-IPMT(Tasa.Diaria.Por.Periodo*(1+Iva.Intereses),1,Periodos.Por.Ciclo,Monto.Extra.Ciclo.1)</f>
        <v>0</v>
      </c>
      <c r="J27" s="350">
        <v>8</v>
      </c>
      <c r="K27" s="350">
        <f t="shared" ca="1" si="0"/>
        <v>8</v>
      </c>
      <c r="L27" s="32">
        <f t="shared" ca="1" si="1"/>
        <v>1</v>
      </c>
      <c r="N27" s="20">
        <f t="shared" ca="1" si="2"/>
        <v>0</v>
      </c>
      <c r="O27" s="97">
        <f t="shared" ca="1" si="3"/>
        <v>0</v>
      </c>
      <c r="Q27" s="97">
        <f ca="1">MAX( _Saldo_Final _Anterior + _Saldo_Ciclico, 0)</f>
        <v>0</v>
      </c>
      <c r="S27" s="20">
        <f t="shared" ca="1" si="4"/>
        <v>0</v>
      </c>
      <c r="T27" s="20">
        <f t="shared" ca="1" si="5"/>
        <v>0</v>
      </c>
      <c r="U27" s="20">
        <f>Fechas!_Dias_Interes_Pago</f>
        <v>30</v>
      </c>
      <c r="V27" s="20">
        <f t="shared" ca="1" si="6"/>
        <v>0</v>
      </c>
      <c r="X27" s="97">
        <f t="shared" ca="1" si="7"/>
        <v>0</v>
      </c>
      <c r="Z27" s="97">
        <f t="shared" ca="1" si="8"/>
        <v>0</v>
      </c>
      <c r="AA27" s="97">
        <f t="shared" ca="1" si="9"/>
        <v>0</v>
      </c>
      <c r="AB27" s="97">
        <f ca="1">MAX( _Calculo_Capital _Actual, _Stopper_Capital _Actual )</f>
        <v>0</v>
      </c>
      <c r="AD27" s="97">
        <f t="shared" ca="1" si="10"/>
        <v>0</v>
      </c>
      <c r="AF27" s="97">
        <f ca="1">MAX(_Saldo_Inicial _Actual - _Capital _Actual, 0)</f>
        <v>0</v>
      </c>
      <c r="AH27" s="292">
        <f>Fechas!_Dias_Interes_CAT</f>
        <v>30</v>
      </c>
      <c r="AI27" s="97">
        <f t="shared" ca="1" si="11"/>
        <v>0</v>
      </c>
      <c r="AJ27" s="293">
        <f t="shared" ca="1" si="12"/>
        <v>0</v>
      </c>
      <c r="AK27" s="376"/>
      <c r="AL27" s="376"/>
      <c r="AM27" s="376" t="s">
        <v>106</v>
      </c>
      <c r="AO27" s="102" t="s">
        <v>111</v>
      </c>
      <c r="AV27" s="350"/>
      <c r="AW27" s="350"/>
      <c r="AX27" s="350"/>
      <c r="AY27" s="350"/>
      <c r="AZ27" s="350"/>
      <c r="BC27" s="350"/>
      <c r="BD27" s="350"/>
      <c r="BE27" s="350"/>
    </row>
    <row r="28" spans="2:57">
      <c r="E28" s="99" t="s">
        <v>93</v>
      </c>
      <c r="F28" s="20">
        <f ca="1">SUM(Componentes.Pago.Fijo.Inicial)</f>
        <v>0</v>
      </c>
      <c r="J28" s="350">
        <v>9</v>
      </c>
      <c r="K28" s="350">
        <f t="shared" ca="1" si="0"/>
        <v>9</v>
      </c>
      <c r="L28" s="32">
        <f t="shared" ca="1" si="1"/>
        <v>1</v>
      </c>
      <c r="N28" s="20">
        <f t="shared" ca="1" si="2"/>
        <v>0</v>
      </c>
      <c r="O28" s="97">
        <f t="shared" ca="1" si="3"/>
        <v>0</v>
      </c>
      <c r="Q28" s="97">
        <f ca="1">MAX( _Saldo_Final _Anterior + _Saldo_Ciclico, 0)</f>
        <v>0</v>
      </c>
      <c r="S28" s="20">
        <f t="shared" ca="1" si="4"/>
        <v>0</v>
      </c>
      <c r="T28" s="20">
        <f t="shared" ca="1" si="5"/>
        <v>0</v>
      </c>
      <c r="U28" s="20">
        <f>Fechas!_Dias_Interes_Pago</f>
        <v>30</v>
      </c>
      <c r="V28" s="20">
        <f t="shared" ca="1" si="6"/>
        <v>0</v>
      </c>
      <c r="X28" s="97">
        <f t="shared" ca="1" si="7"/>
        <v>0</v>
      </c>
      <c r="Z28" s="97">
        <f t="shared" ca="1" si="8"/>
        <v>0</v>
      </c>
      <c r="AA28" s="97">
        <f t="shared" ca="1" si="9"/>
        <v>0</v>
      </c>
      <c r="AB28" s="97">
        <f ca="1">MAX( _Calculo_Capital _Actual, _Stopper_Capital _Actual )</f>
        <v>0</v>
      </c>
      <c r="AD28" s="97">
        <f t="shared" ca="1" si="10"/>
        <v>0</v>
      </c>
      <c r="AF28" s="97">
        <f ca="1">MAX(_Saldo_Inicial _Actual - _Capital _Actual, 0)</f>
        <v>0</v>
      </c>
      <c r="AH28" s="292">
        <f>Fechas!_Dias_Interes_CAT</f>
        <v>30</v>
      </c>
      <c r="AI28" s="97">
        <f t="shared" ca="1" si="11"/>
        <v>0</v>
      </c>
      <c r="AJ28" s="293">
        <f t="shared" ca="1" si="12"/>
        <v>0</v>
      </c>
      <c r="AK28" s="376"/>
      <c r="AL28" s="376"/>
      <c r="AM28" s="376" t="s">
        <v>176</v>
      </c>
      <c r="AO28" s="102" t="s">
        <v>179</v>
      </c>
      <c r="AP28" s="32"/>
      <c r="AV28" s="350"/>
      <c r="AW28" s="350"/>
      <c r="AX28" s="350"/>
      <c r="AY28" s="350"/>
      <c r="AZ28" s="350"/>
      <c r="BC28" s="350"/>
      <c r="BD28" s="350"/>
      <c r="BE28" s="350"/>
    </row>
    <row r="29" spans="2:57">
      <c r="B29" s="382" t="s">
        <v>94</v>
      </c>
      <c r="C29" s="361"/>
      <c r="J29" s="350">
        <v>10</v>
      </c>
      <c r="K29" s="350">
        <f t="shared" ca="1" si="0"/>
        <v>10</v>
      </c>
      <c r="L29" s="32">
        <f t="shared" ca="1" si="1"/>
        <v>1</v>
      </c>
      <c r="N29" s="20">
        <f t="shared" ca="1" si="2"/>
        <v>0</v>
      </c>
      <c r="O29" s="97">
        <f t="shared" ca="1" si="3"/>
        <v>0</v>
      </c>
      <c r="Q29" s="97">
        <f ca="1">MAX( _Saldo_Final _Anterior + _Saldo_Ciclico, 0)</f>
        <v>0</v>
      </c>
      <c r="S29" s="20">
        <f t="shared" ca="1" si="4"/>
        <v>0</v>
      </c>
      <c r="T29" s="20">
        <f t="shared" ca="1" si="5"/>
        <v>0</v>
      </c>
      <c r="U29" s="20">
        <f>Fechas!_Dias_Interes_Pago</f>
        <v>30</v>
      </c>
      <c r="V29" s="20">
        <f t="shared" ca="1" si="6"/>
        <v>0</v>
      </c>
      <c r="X29" s="97">
        <f t="shared" ca="1" si="7"/>
        <v>0</v>
      </c>
      <c r="Z29" s="97">
        <f t="shared" ca="1" si="8"/>
        <v>0</v>
      </c>
      <c r="AA29" s="97">
        <f t="shared" ca="1" si="9"/>
        <v>0</v>
      </c>
      <c r="AB29" s="97">
        <f ca="1">MAX( _Calculo_Capital _Actual, _Stopper_Capital _Actual )</f>
        <v>0</v>
      </c>
      <c r="AD29" s="97">
        <f t="shared" ca="1" si="10"/>
        <v>0</v>
      </c>
      <c r="AF29" s="97">
        <f ca="1">MAX(_Saldo_Inicial _Actual - _Capital _Actual, 0)</f>
        <v>0</v>
      </c>
      <c r="AH29" s="292">
        <f>Fechas!_Dias_Interes_CAT</f>
        <v>30</v>
      </c>
      <c r="AI29" s="97">
        <f t="shared" ca="1" si="11"/>
        <v>0</v>
      </c>
      <c r="AJ29" s="293">
        <f t="shared" ca="1" si="12"/>
        <v>0</v>
      </c>
      <c r="AK29" s="376"/>
      <c r="AL29" s="376"/>
      <c r="AM29" s="376" t="s">
        <v>2498</v>
      </c>
      <c r="AN29" s="383">
        <v>41212</v>
      </c>
      <c r="AO29" s="300" t="s">
        <v>2499</v>
      </c>
      <c r="AP29" s="32"/>
      <c r="AV29" s="350"/>
      <c r="AW29" s="350"/>
      <c r="AX29" s="350"/>
      <c r="AY29" s="350"/>
      <c r="AZ29" s="350"/>
      <c r="BC29" s="350"/>
      <c r="BD29" s="350"/>
      <c r="BE29" s="350"/>
    </row>
    <row r="30" spans="2:57">
      <c r="B30" s="102" t="s">
        <v>66</v>
      </c>
      <c r="C30" s="350" t="str">
        <f ca="1">IF(ISERROR(INDIRECT(Parametro.Rango.Dias.Periodo)), "Dias.Por.Periodo", Parametro.Rango.Dias.Periodo)</f>
        <v>Fechas!_Dias_Interes_Pago</v>
      </c>
      <c r="E30" s="384" t="s">
        <v>95</v>
      </c>
      <c r="F30" s="361"/>
      <c r="J30" s="350">
        <v>11</v>
      </c>
      <c r="K30" s="350">
        <f t="shared" ca="1" si="0"/>
        <v>11</v>
      </c>
      <c r="L30" s="32">
        <f t="shared" ca="1" si="1"/>
        <v>1</v>
      </c>
      <c r="N30" s="20">
        <f t="shared" ca="1" si="2"/>
        <v>0</v>
      </c>
      <c r="O30" s="97">
        <f t="shared" ca="1" si="3"/>
        <v>0</v>
      </c>
      <c r="Q30" s="97">
        <f ca="1">MAX( _Saldo_Final _Anterior + _Saldo_Ciclico, 0)</f>
        <v>0</v>
      </c>
      <c r="S30" s="20">
        <f t="shared" ca="1" si="4"/>
        <v>0</v>
      </c>
      <c r="T30" s="20">
        <f t="shared" ca="1" si="5"/>
        <v>0</v>
      </c>
      <c r="U30" s="20">
        <f>Fechas!_Dias_Interes_Pago</f>
        <v>30</v>
      </c>
      <c r="V30" s="20">
        <f t="shared" ca="1" si="6"/>
        <v>0</v>
      </c>
      <c r="X30" s="97">
        <f t="shared" ca="1" si="7"/>
        <v>0</v>
      </c>
      <c r="Z30" s="97">
        <f t="shared" ca="1" si="8"/>
        <v>0</v>
      </c>
      <c r="AA30" s="97">
        <f t="shared" ca="1" si="9"/>
        <v>0</v>
      </c>
      <c r="AB30" s="97">
        <f ca="1">MAX( _Calculo_Capital _Actual, _Stopper_Capital _Actual )</f>
        <v>0</v>
      </c>
      <c r="AD30" s="97">
        <f t="shared" ca="1" si="10"/>
        <v>0</v>
      </c>
      <c r="AF30" s="97">
        <f ca="1">MAX(_Saldo_Inicial _Actual - _Capital _Actual, 0)</f>
        <v>0</v>
      </c>
      <c r="AH30" s="292">
        <f>Fechas!_Dias_Interes_CAT</f>
        <v>30</v>
      </c>
      <c r="AI30" s="97">
        <f t="shared" ca="1" si="11"/>
        <v>0</v>
      </c>
      <c r="AJ30" s="293">
        <f t="shared" ca="1" si="12"/>
        <v>0</v>
      </c>
      <c r="AK30" s="376"/>
      <c r="AL30" s="376"/>
      <c r="AM30" s="376"/>
      <c r="AN30" s="383"/>
      <c r="AO30" s="300"/>
      <c r="AP30" s="32"/>
      <c r="AV30" s="350"/>
      <c r="AW30" s="350"/>
      <c r="AX30" s="350"/>
      <c r="AY30" s="350"/>
      <c r="AZ30" s="350"/>
      <c r="BC30" s="350"/>
      <c r="BD30" s="350"/>
      <c r="BE30" s="350"/>
    </row>
    <row r="31" spans="2:57">
      <c r="B31" s="102" t="s">
        <v>67</v>
      </c>
      <c r="C31" s="350" t="b">
        <f>IF(ISLOGICAL(Parametro.Tabla.Ciclica.Anual?), Parametro.Tabla.Ciclica.Anual?, FALSE)</f>
        <v>1</v>
      </c>
      <c r="E31" s="385" t="s">
        <v>96</v>
      </c>
      <c r="F31" s="116">
        <f ca="1">MIN( MATCH(0,_Saldo_Final,0),  Periodos.Por.Ciclo )</f>
        <v>1</v>
      </c>
      <c r="J31" s="350">
        <v>12</v>
      </c>
      <c r="K31" s="350">
        <f t="shared" ca="1" si="0"/>
        <v>12</v>
      </c>
      <c r="L31" s="32">
        <f t="shared" ca="1" si="1"/>
        <v>1</v>
      </c>
      <c r="N31" s="20">
        <f t="shared" ca="1" si="2"/>
        <v>0</v>
      </c>
      <c r="O31" s="97">
        <f t="shared" ca="1" si="3"/>
        <v>0</v>
      </c>
      <c r="Q31" s="97">
        <f ca="1">MAX( _Saldo_Final _Anterior + _Saldo_Ciclico, 0)</f>
        <v>0</v>
      </c>
      <c r="S31" s="20">
        <f t="shared" ca="1" si="4"/>
        <v>0</v>
      </c>
      <c r="T31" s="20">
        <f t="shared" ca="1" si="5"/>
        <v>0</v>
      </c>
      <c r="U31" s="20">
        <f>Fechas!_Dias_Interes_Pago</f>
        <v>30</v>
      </c>
      <c r="V31" s="20">
        <f t="shared" ca="1" si="6"/>
        <v>0</v>
      </c>
      <c r="X31" s="97">
        <f t="shared" ca="1" si="7"/>
        <v>0</v>
      </c>
      <c r="Z31" s="97">
        <f t="shared" ca="1" si="8"/>
        <v>0</v>
      </c>
      <c r="AA31" s="97">
        <f t="shared" ca="1" si="9"/>
        <v>0</v>
      </c>
      <c r="AB31" s="97">
        <f ca="1">MAX( _Calculo_Capital _Actual, _Stopper_Capital _Actual )</f>
        <v>0</v>
      </c>
      <c r="AD31" s="97">
        <f t="shared" ca="1" si="10"/>
        <v>0</v>
      </c>
      <c r="AF31" s="97">
        <f ca="1">MAX(_Saldo_Inicial _Actual - _Capital _Actual, 0)</f>
        <v>0</v>
      </c>
      <c r="AH31" s="292">
        <f>Fechas!_Dias_Interes_CAT</f>
        <v>30</v>
      </c>
      <c r="AI31" s="97">
        <f t="shared" ca="1" si="11"/>
        <v>0</v>
      </c>
      <c r="AJ31" s="293">
        <f t="shared" ca="1" si="12"/>
        <v>0</v>
      </c>
      <c r="AK31" s="376"/>
      <c r="AL31" s="376"/>
      <c r="AM31" s="376"/>
      <c r="AN31" s="383"/>
      <c r="AO31" s="300"/>
      <c r="AP31" s="32"/>
      <c r="AV31" s="350"/>
      <c r="AW31" s="350"/>
      <c r="AX31" s="350"/>
      <c r="AY31" s="350"/>
      <c r="AZ31" s="350"/>
      <c r="BC31" s="350"/>
      <c r="BD31" s="350"/>
      <c r="BE31" s="350"/>
    </row>
    <row r="32" spans="2:57">
      <c r="B32" s="102" t="s">
        <v>68</v>
      </c>
      <c r="C32" s="386">
        <f ca="1" xml:space="preserve"> IF( ISNUMBER( Parametro.Monto.Extra.Ciclo.1 ), Parametro.Monto.Extra.Ciclo.1, 0 ) * ( Tabla.Ciclica.Anual? )</f>
        <v>0</v>
      </c>
      <c r="J32" s="350">
        <v>13</v>
      </c>
      <c r="K32" s="350">
        <f t="shared" ca="1" si="0"/>
        <v>1</v>
      </c>
      <c r="L32" s="32">
        <f t="shared" ca="1" si="1"/>
        <v>2</v>
      </c>
      <c r="N32" s="20">
        <f t="shared" ca="1" si="2"/>
        <v>0</v>
      </c>
      <c r="O32" s="97">
        <f t="shared" ca="1" si="3"/>
        <v>0</v>
      </c>
      <c r="Q32" s="97">
        <f ca="1">MAX( _Saldo_Final _Anterior + _Saldo_Ciclico, 0)</f>
        <v>0</v>
      </c>
      <c r="S32" s="20">
        <f t="shared" ca="1" si="4"/>
        <v>0</v>
      </c>
      <c r="T32" s="20">
        <f t="shared" ca="1" si="5"/>
        <v>0</v>
      </c>
      <c r="U32" s="20">
        <f>Fechas!_Dias_Interes_Pago</f>
        <v>30</v>
      </c>
      <c r="V32" s="20">
        <f t="shared" ca="1" si="6"/>
        <v>0</v>
      </c>
      <c r="X32" s="97">
        <f t="shared" ca="1" si="7"/>
        <v>0</v>
      </c>
      <c r="Z32" s="97">
        <f t="shared" ca="1" si="8"/>
        <v>0</v>
      </c>
      <c r="AA32" s="97">
        <f t="shared" ca="1" si="9"/>
        <v>0</v>
      </c>
      <c r="AB32" s="97">
        <f ca="1">MAX( _Calculo_Capital _Actual, _Stopper_Capital _Actual )</f>
        <v>0</v>
      </c>
      <c r="AD32" s="97">
        <f t="shared" ca="1" si="10"/>
        <v>0</v>
      </c>
      <c r="AF32" s="97">
        <f ca="1">MAX(_Saldo_Inicial _Actual - _Capital _Actual, 0)</f>
        <v>0</v>
      </c>
      <c r="AH32" s="292">
        <f>Fechas!_Dias_Interes_CAT</f>
        <v>30</v>
      </c>
      <c r="AI32" s="97">
        <f t="shared" ca="1" si="11"/>
        <v>0</v>
      </c>
      <c r="AJ32" s="293">
        <f t="shared" ca="1" si="12"/>
        <v>0</v>
      </c>
      <c r="AK32" s="376"/>
      <c r="AL32" s="376"/>
      <c r="AM32" s="376"/>
      <c r="AN32" s="383"/>
      <c r="AO32" s="300"/>
      <c r="AP32" s="32"/>
      <c r="AV32" s="350"/>
      <c r="AW32" s="350"/>
      <c r="AX32" s="350"/>
      <c r="AY32" s="350"/>
      <c r="AZ32" s="350"/>
      <c r="BC32" s="350"/>
      <c r="BD32" s="350"/>
      <c r="BE32" s="350"/>
    </row>
    <row r="33" spans="2:57">
      <c r="B33" s="102" t="s">
        <v>69</v>
      </c>
      <c r="C33" s="350" t="str">
        <f ca="1">IF(ISERROR(INDIRECT(Parametro.Rango.Dias.CAT)), Rango.Dias.Periodo, Parametro.Rango.Dias.CAT)</f>
        <v>Fechas!_Dias_Interes_CAT</v>
      </c>
      <c r="J33" s="350">
        <v>14</v>
      </c>
      <c r="K33" s="350">
        <f t="shared" ca="1" si="0"/>
        <v>2</v>
      </c>
      <c r="L33" s="32">
        <f t="shared" ca="1" si="1"/>
        <v>2</v>
      </c>
      <c r="N33" s="20">
        <f t="shared" ca="1" si="2"/>
        <v>0</v>
      </c>
      <c r="O33" s="97">
        <f t="shared" ca="1" si="3"/>
        <v>0</v>
      </c>
      <c r="Q33" s="97">
        <f ca="1">MAX( _Saldo_Final _Anterior + _Saldo_Ciclico, 0)</f>
        <v>0</v>
      </c>
      <c r="S33" s="20">
        <f t="shared" ca="1" si="4"/>
        <v>0</v>
      </c>
      <c r="T33" s="20">
        <f t="shared" ca="1" si="5"/>
        <v>0</v>
      </c>
      <c r="U33" s="20">
        <f>Fechas!_Dias_Interes_Pago</f>
        <v>30</v>
      </c>
      <c r="V33" s="20">
        <f t="shared" ca="1" si="6"/>
        <v>0</v>
      </c>
      <c r="X33" s="97">
        <f t="shared" ca="1" si="7"/>
        <v>0</v>
      </c>
      <c r="Z33" s="97">
        <f t="shared" ca="1" si="8"/>
        <v>0</v>
      </c>
      <c r="AA33" s="97">
        <f t="shared" ca="1" si="9"/>
        <v>0</v>
      </c>
      <c r="AB33" s="97">
        <f ca="1">MAX( _Calculo_Capital _Actual, _Stopper_Capital _Actual )</f>
        <v>0</v>
      </c>
      <c r="AD33" s="97">
        <f t="shared" ca="1" si="10"/>
        <v>0</v>
      </c>
      <c r="AF33" s="97">
        <f ca="1">MAX(_Saldo_Inicial _Actual - _Capital _Actual, 0)</f>
        <v>0</v>
      </c>
      <c r="AH33" s="292">
        <f>Fechas!_Dias_Interes_CAT</f>
        <v>30</v>
      </c>
      <c r="AI33" s="97">
        <f t="shared" ca="1" si="11"/>
        <v>0</v>
      </c>
      <c r="AJ33" s="293">
        <f t="shared" ca="1" si="12"/>
        <v>0</v>
      </c>
      <c r="AK33" s="376"/>
      <c r="AL33" s="376"/>
      <c r="AM33" s="376"/>
      <c r="AN33" s="383"/>
      <c r="AO33" s="300"/>
      <c r="AP33" s="32"/>
      <c r="AV33" s="350"/>
      <c r="AW33" s="350"/>
      <c r="AX33" s="350"/>
      <c r="AY33" s="350"/>
      <c r="AZ33" s="350"/>
      <c r="BC33" s="350"/>
      <c r="BD33" s="350"/>
      <c r="BE33" s="350"/>
    </row>
    <row r="34" spans="2:57">
      <c r="J34" s="350">
        <v>15</v>
      </c>
      <c r="K34" s="350">
        <f t="shared" ca="1" si="0"/>
        <v>3</v>
      </c>
      <c r="L34" s="32">
        <f t="shared" ca="1" si="1"/>
        <v>2</v>
      </c>
      <c r="N34" s="20">
        <f t="shared" ca="1" si="2"/>
        <v>0</v>
      </c>
      <c r="O34" s="97">
        <f t="shared" ca="1" si="3"/>
        <v>0</v>
      </c>
      <c r="Q34" s="97">
        <f ca="1">MAX( _Saldo_Final _Anterior + _Saldo_Ciclico, 0)</f>
        <v>0</v>
      </c>
      <c r="S34" s="20">
        <f t="shared" ca="1" si="4"/>
        <v>0</v>
      </c>
      <c r="T34" s="20">
        <f t="shared" ca="1" si="5"/>
        <v>0</v>
      </c>
      <c r="U34" s="20">
        <f>Fechas!_Dias_Interes_Pago</f>
        <v>30</v>
      </c>
      <c r="V34" s="20">
        <f t="shared" ca="1" si="6"/>
        <v>0</v>
      </c>
      <c r="X34" s="97">
        <f t="shared" ca="1" si="7"/>
        <v>0</v>
      </c>
      <c r="Z34" s="97">
        <f t="shared" ca="1" si="8"/>
        <v>0</v>
      </c>
      <c r="AA34" s="97">
        <f t="shared" ca="1" si="9"/>
        <v>0</v>
      </c>
      <c r="AB34" s="97">
        <f ca="1">MAX( _Calculo_Capital _Actual, _Stopper_Capital _Actual )</f>
        <v>0</v>
      </c>
      <c r="AD34" s="97">
        <f t="shared" ca="1" si="10"/>
        <v>0</v>
      </c>
      <c r="AF34" s="97">
        <f ca="1">MAX(_Saldo_Inicial _Actual - _Capital _Actual, 0)</f>
        <v>0</v>
      </c>
      <c r="AH34" s="292">
        <f>Fechas!_Dias_Interes_CAT</f>
        <v>30</v>
      </c>
      <c r="AI34" s="97">
        <f t="shared" ca="1" si="11"/>
        <v>0</v>
      </c>
      <c r="AJ34" s="293">
        <f t="shared" ca="1" si="12"/>
        <v>0</v>
      </c>
      <c r="AK34" s="376"/>
      <c r="AL34" s="376"/>
      <c r="AM34" s="376"/>
      <c r="AN34" s="383"/>
      <c r="AO34" s="300"/>
      <c r="AP34" s="32"/>
      <c r="AV34" s="350"/>
      <c r="AW34" s="350"/>
      <c r="AX34" s="350"/>
      <c r="AY34" s="350"/>
      <c r="AZ34" s="350"/>
      <c r="BC34" s="350"/>
      <c r="BD34" s="350"/>
      <c r="BE34" s="350"/>
    </row>
    <row r="35" spans="2:57">
      <c r="B35" s="361"/>
      <c r="C35" s="361"/>
      <c r="D35" s="387"/>
      <c r="E35" s="382" t="s">
        <v>97</v>
      </c>
      <c r="F35" s="361"/>
      <c r="J35" s="350">
        <v>16</v>
      </c>
      <c r="K35" s="350">
        <f t="shared" ca="1" si="0"/>
        <v>4</v>
      </c>
      <c r="L35" s="32">
        <f t="shared" ca="1" si="1"/>
        <v>2</v>
      </c>
      <c r="N35" s="20">
        <f t="shared" ca="1" si="2"/>
        <v>0</v>
      </c>
      <c r="O35" s="97">
        <f t="shared" ca="1" si="3"/>
        <v>0</v>
      </c>
      <c r="Q35" s="97">
        <f ca="1">MAX( _Saldo_Final _Anterior + _Saldo_Ciclico, 0)</f>
        <v>0</v>
      </c>
      <c r="S35" s="20">
        <f t="shared" ca="1" si="4"/>
        <v>0</v>
      </c>
      <c r="T35" s="20">
        <f t="shared" ca="1" si="5"/>
        <v>0</v>
      </c>
      <c r="U35" s="20">
        <f>Fechas!_Dias_Interes_Pago</f>
        <v>30</v>
      </c>
      <c r="V35" s="20">
        <f t="shared" ca="1" si="6"/>
        <v>0</v>
      </c>
      <c r="X35" s="97">
        <f t="shared" ca="1" si="7"/>
        <v>0</v>
      </c>
      <c r="Z35" s="97">
        <f t="shared" ca="1" si="8"/>
        <v>0</v>
      </c>
      <c r="AA35" s="97">
        <f t="shared" ca="1" si="9"/>
        <v>0</v>
      </c>
      <c r="AB35" s="97">
        <f ca="1">MAX( _Calculo_Capital _Actual, _Stopper_Capital _Actual )</f>
        <v>0</v>
      </c>
      <c r="AD35" s="97">
        <f t="shared" ca="1" si="10"/>
        <v>0</v>
      </c>
      <c r="AF35" s="97">
        <f ca="1">MAX(_Saldo_Inicial _Actual - _Capital _Actual, 0)</f>
        <v>0</v>
      </c>
      <c r="AH35" s="292">
        <f>Fechas!_Dias_Interes_CAT</f>
        <v>30</v>
      </c>
      <c r="AI35" s="97">
        <f t="shared" ca="1" si="11"/>
        <v>0</v>
      </c>
      <c r="AJ35" s="293">
        <f t="shared" ca="1" si="12"/>
        <v>0</v>
      </c>
      <c r="AK35" s="376"/>
      <c r="AL35" s="376"/>
      <c r="AM35" s="376"/>
      <c r="AN35" s="383"/>
      <c r="AO35" s="300"/>
      <c r="AP35" s="32"/>
      <c r="AV35" s="350"/>
      <c r="AW35" s="350"/>
      <c r="AX35" s="350"/>
      <c r="AY35" s="350"/>
      <c r="AZ35" s="350"/>
      <c r="BC35" s="350"/>
      <c r="BD35" s="350"/>
      <c r="BE35" s="350"/>
    </row>
    <row r="36" spans="2:57">
      <c r="E36" s="388"/>
      <c r="F36" s="354"/>
      <c r="J36" s="350">
        <v>17</v>
      </c>
      <c r="K36" s="350">
        <f t="shared" ca="1" si="0"/>
        <v>5</v>
      </c>
      <c r="L36" s="32">
        <f t="shared" ca="1" si="1"/>
        <v>2</v>
      </c>
      <c r="N36" s="20">
        <f t="shared" ca="1" si="2"/>
        <v>0</v>
      </c>
      <c r="O36" s="97">
        <f t="shared" ca="1" si="3"/>
        <v>0</v>
      </c>
      <c r="Q36" s="97">
        <f ca="1">MAX( _Saldo_Final _Anterior + _Saldo_Ciclico, 0)</f>
        <v>0</v>
      </c>
      <c r="S36" s="20">
        <f t="shared" ca="1" si="4"/>
        <v>0</v>
      </c>
      <c r="T36" s="20">
        <f t="shared" ca="1" si="5"/>
        <v>0</v>
      </c>
      <c r="U36" s="20">
        <f>Fechas!_Dias_Interes_Pago</f>
        <v>30</v>
      </c>
      <c r="V36" s="20">
        <f t="shared" ca="1" si="6"/>
        <v>0</v>
      </c>
      <c r="X36" s="97">
        <f t="shared" ca="1" si="7"/>
        <v>0</v>
      </c>
      <c r="Z36" s="97">
        <f t="shared" ca="1" si="8"/>
        <v>0</v>
      </c>
      <c r="AA36" s="97">
        <f t="shared" ca="1" si="9"/>
        <v>0</v>
      </c>
      <c r="AB36" s="97">
        <f ca="1">MAX( _Calculo_Capital _Actual, _Stopper_Capital _Actual )</f>
        <v>0</v>
      </c>
      <c r="AD36" s="97">
        <f t="shared" ca="1" si="10"/>
        <v>0</v>
      </c>
      <c r="AF36" s="97">
        <f ca="1">MAX(_Saldo_Inicial _Actual - _Capital _Actual, 0)</f>
        <v>0</v>
      </c>
      <c r="AH36" s="292">
        <f>Fechas!_Dias_Interes_CAT</f>
        <v>30</v>
      </c>
      <c r="AI36" s="97">
        <f t="shared" ca="1" si="11"/>
        <v>0</v>
      </c>
      <c r="AJ36" s="293">
        <f t="shared" ca="1" si="12"/>
        <v>0</v>
      </c>
      <c r="AK36" s="376"/>
      <c r="AL36" s="376"/>
      <c r="AM36" s="376"/>
      <c r="AN36" s="383"/>
      <c r="AO36" s="300"/>
      <c r="AP36" s="32"/>
      <c r="AV36" s="350"/>
      <c r="AW36" s="350"/>
      <c r="AX36" s="350"/>
      <c r="AY36" s="350"/>
      <c r="AZ36" s="350"/>
      <c r="BC36" s="350"/>
      <c r="BD36" s="350"/>
      <c r="BE36" s="350"/>
    </row>
    <row r="37" spans="2:57">
      <c r="B37" s="32"/>
      <c r="C37" s="101" t="s">
        <v>98</v>
      </c>
      <c r="E37" s="111" t="s">
        <v>99</v>
      </c>
      <c r="F37" s="300" t="str">
        <f ca="1">Rango.Dias.Periodo</f>
        <v>Fechas!_Dias_Interes_Pago</v>
      </c>
      <c r="J37" s="350">
        <v>18</v>
      </c>
      <c r="K37" s="350">
        <f t="shared" ca="1" si="0"/>
        <v>6</v>
      </c>
      <c r="L37" s="32">
        <f t="shared" ca="1" si="1"/>
        <v>2</v>
      </c>
      <c r="N37" s="20">
        <f t="shared" ca="1" si="2"/>
        <v>0</v>
      </c>
      <c r="O37" s="97">
        <f t="shared" ca="1" si="3"/>
        <v>0</v>
      </c>
      <c r="Q37" s="97">
        <f ca="1">MAX( _Saldo_Final _Anterior + _Saldo_Ciclico, 0)</f>
        <v>0</v>
      </c>
      <c r="S37" s="20">
        <f t="shared" ca="1" si="4"/>
        <v>0</v>
      </c>
      <c r="T37" s="20">
        <f t="shared" ca="1" si="5"/>
        <v>0</v>
      </c>
      <c r="U37" s="20">
        <f>Fechas!_Dias_Interes_Pago</f>
        <v>30</v>
      </c>
      <c r="V37" s="20">
        <f t="shared" ca="1" si="6"/>
        <v>0</v>
      </c>
      <c r="X37" s="97">
        <f t="shared" ca="1" si="7"/>
        <v>0</v>
      </c>
      <c r="Z37" s="97">
        <f t="shared" ca="1" si="8"/>
        <v>0</v>
      </c>
      <c r="AA37" s="97">
        <f t="shared" ca="1" si="9"/>
        <v>0</v>
      </c>
      <c r="AB37" s="97">
        <f ca="1">MAX( _Calculo_Capital _Actual, _Stopper_Capital _Actual )</f>
        <v>0</v>
      </c>
      <c r="AD37" s="97">
        <f t="shared" ca="1" si="10"/>
        <v>0</v>
      </c>
      <c r="AF37" s="97">
        <f ca="1">MAX(_Saldo_Inicial _Actual - _Capital _Actual, 0)</f>
        <v>0</v>
      </c>
      <c r="AH37" s="292">
        <f>Fechas!_Dias_Interes_CAT</f>
        <v>30</v>
      </c>
      <c r="AI37" s="97">
        <f t="shared" ca="1" si="11"/>
        <v>0</v>
      </c>
      <c r="AJ37" s="293">
        <f t="shared" ca="1" si="12"/>
        <v>0</v>
      </c>
      <c r="AK37" s="376"/>
      <c r="AL37" s="376"/>
      <c r="AM37" s="376"/>
      <c r="AN37" s="383"/>
      <c r="AO37" s="300"/>
      <c r="AP37" s="32"/>
      <c r="AV37" s="350"/>
      <c r="AW37" s="350"/>
      <c r="AX37" s="350"/>
      <c r="AY37" s="350"/>
      <c r="AZ37" s="350"/>
      <c r="BC37" s="350"/>
      <c r="BD37" s="350"/>
      <c r="BE37" s="350"/>
    </row>
    <row r="38" spans="2:57">
      <c r="C38" s="101" t="s">
        <v>112</v>
      </c>
      <c r="E38" s="111" t="s">
        <v>99</v>
      </c>
      <c r="F38" s="300" t="str">
        <f ca="1">Rango.Dias.CAT</f>
        <v>Fechas!_Dias_Interes_CAT</v>
      </c>
      <c r="J38" s="350">
        <v>19</v>
      </c>
      <c r="K38" s="350">
        <f t="shared" ca="1" si="0"/>
        <v>7</v>
      </c>
      <c r="L38" s="32">
        <f t="shared" ca="1" si="1"/>
        <v>2</v>
      </c>
      <c r="N38" s="20">
        <f t="shared" ca="1" si="2"/>
        <v>0</v>
      </c>
      <c r="O38" s="97">
        <f t="shared" ca="1" si="3"/>
        <v>0</v>
      </c>
      <c r="Q38" s="97">
        <f ca="1">MAX( _Saldo_Final _Anterior + _Saldo_Ciclico, 0)</f>
        <v>0</v>
      </c>
      <c r="S38" s="20">
        <f t="shared" ca="1" si="4"/>
        <v>0</v>
      </c>
      <c r="T38" s="20">
        <f t="shared" ca="1" si="5"/>
        <v>0</v>
      </c>
      <c r="U38" s="20">
        <f>Fechas!_Dias_Interes_Pago</f>
        <v>30</v>
      </c>
      <c r="V38" s="20">
        <f t="shared" ca="1" si="6"/>
        <v>0</v>
      </c>
      <c r="X38" s="97">
        <f t="shared" ca="1" si="7"/>
        <v>0</v>
      </c>
      <c r="Z38" s="97">
        <f t="shared" ca="1" si="8"/>
        <v>0</v>
      </c>
      <c r="AA38" s="97">
        <f t="shared" ca="1" si="9"/>
        <v>0</v>
      </c>
      <c r="AB38" s="97">
        <f ca="1">MAX( _Calculo_Capital _Actual, _Stopper_Capital _Actual )</f>
        <v>0</v>
      </c>
      <c r="AD38" s="97">
        <f t="shared" ca="1" si="10"/>
        <v>0</v>
      </c>
      <c r="AF38" s="97">
        <f ca="1">MAX(_Saldo_Inicial _Actual - _Capital _Actual, 0)</f>
        <v>0</v>
      </c>
      <c r="AH38" s="292">
        <f>Fechas!_Dias_Interes_CAT</f>
        <v>30</v>
      </c>
      <c r="AI38" s="97">
        <f t="shared" ca="1" si="11"/>
        <v>0</v>
      </c>
      <c r="AJ38" s="293">
        <f t="shared" ca="1" si="12"/>
        <v>0</v>
      </c>
      <c r="AK38" s="376"/>
      <c r="AL38" s="376"/>
      <c r="AM38" s="376"/>
      <c r="AN38" s="383"/>
      <c r="AO38" s="300"/>
      <c r="AP38" s="32"/>
      <c r="AV38" s="350"/>
      <c r="AW38" s="350"/>
      <c r="AX38" s="350"/>
      <c r="AY38" s="350"/>
      <c r="AZ38" s="350"/>
      <c r="BC38" s="350"/>
      <c r="BD38" s="350"/>
      <c r="BE38" s="350"/>
    </row>
    <row r="39" spans="2:57">
      <c r="B39" s="32"/>
      <c r="C39" s="32"/>
      <c r="J39" s="350">
        <v>20</v>
      </c>
      <c r="K39" s="350">
        <f t="shared" ca="1" si="0"/>
        <v>8</v>
      </c>
      <c r="L39" s="32">
        <f t="shared" ca="1" si="1"/>
        <v>2</v>
      </c>
      <c r="N39" s="20">
        <f t="shared" ca="1" si="2"/>
        <v>0</v>
      </c>
      <c r="O39" s="97">
        <f t="shared" ca="1" si="3"/>
        <v>0</v>
      </c>
      <c r="Q39" s="97">
        <f ca="1">MAX( _Saldo_Final _Anterior + _Saldo_Ciclico, 0)</f>
        <v>0</v>
      </c>
      <c r="S39" s="20">
        <f t="shared" ca="1" si="4"/>
        <v>0</v>
      </c>
      <c r="T39" s="20">
        <f t="shared" ca="1" si="5"/>
        <v>0</v>
      </c>
      <c r="U39" s="20">
        <f>Fechas!_Dias_Interes_Pago</f>
        <v>30</v>
      </c>
      <c r="V39" s="20">
        <f t="shared" ca="1" si="6"/>
        <v>0</v>
      </c>
      <c r="X39" s="97">
        <f t="shared" ca="1" si="7"/>
        <v>0</v>
      </c>
      <c r="Z39" s="97">
        <f t="shared" ca="1" si="8"/>
        <v>0</v>
      </c>
      <c r="AA39" s="97">
        <f t="shared" ca="1" si="9"/>
        <v>0</v>
      </c>
      <c r="AB39" s="97">
        <f ca="1">MAX( _Calculo_Capital _Actual, _Stopper_Capital _Actual )</f>
        <v>0</v>
      </c>
      <c r="AD39" s="97">
        <f t="shared" ca="1" si="10"/>
        <v>0</v>
      </c>
      <c r="AF39" s="97">
        <f ca="1">MAX(_Saldo_Inicial _Actual - _Capital _Actual, 0)</f>
        <v>0</v>
      </c>
      <c r="AH39" s="292">
        <f>Fechas!_Dias_Interes_CAT</f>
        <v>30</v>
      </c>
      <c r="AI39" s="97">
        <f t="shared" ca="1" si="11"/>
        <v>0</v>
      </c>
      <c r="AJ39" s="293">
        <f t="shared" ca="1" si="12"/>
        <v>0</v>
      </c>
      <c r="AK39" s="376"/>
      <c r="AL39" s="376"/>
      <c r="AM39" s="376"/>
      <c r="AN39" s="383"/>
      <c r="AO39" s="300"/>
      <c r="AP39" s="32"/>
      <c r="AV39" s="350"/>
      <c r="AW39" s="350"/>
      <c r="AX39" s="350"/>
      <c r="AY39" s="350"/>
      <c r="AZ39" s="350"/>
      <c r="BC39" s="350"/>
      <c r="BD39" s="350"/>
      <c r="BE39" s="350"/>
    </row>
    <row r="40" spans="2:57">
      <c r="B40" s="32"/>
      <c r="C40" s="32"/>
      <c r="J40" s="350">
        <v>21</v>
      </c>
      <c r="K40" s="350">
        <f t="shared" ca="1" si="0"/>
        <v>9</v>
      </c>
      <c r="L40" s="32">
        <f t="shared" ca="1" si="1"/>
        <v>2</v>
      </c>
      <c r="N40" s="20">
        <f t="shared" ca="1" si="2"/>
        <v>0</v>
      </c>
      <c r="O40" s="97">
        <f t="shared" ca="1" si="3"/>
        <v>0</v>
      </c>
      <c r="Q40" s="97">
        <f ca="1">MAX( _Saldo_Final _Anterior + _Saldo_Ciclico, 0)</f>
        <v>0</v>
      </c>
      <c r="S40" s="20">
        <f t="shared" ca="1" si="4"/>
        <v>0</v>
      </c>
      <c r="T40" s="20">
        <f t="shared" ca="1" si="5"/>
        <v>0</v>
      </c>
      <c r="U40" s="20">
        <f>Fechas!_Dias_Interes_Pago</f>
        <v>30</v>
      </c>
      <c r="V40" s="20">
        <f t="shared" ca="1" si="6"/>
        <v>0</v>
      </c>
      <c r="X40" s="97">
        <f t="shared" ca="1" si="7"/>
        <v>0</v>
      </c>
      <c r="Z40" s="97">
        <f t="shared" ca="1" si="8"/>
        <v>0</v>
      </c>
      <c r="AA40" s="97">
        <f t="shared" ca="1" si="9"/>
        <v>0</v>
      </c>
      <c r="AB40" s="97">
        <f ca="1">MAX( _Calculo_Capital _Actual, _Stopper_Capital _Actual )</f>
        <v>0</v>
      </c>
      <c r="AD40" s="97">
        <f t="shared" ca="1" si="10"/>
        <v>0</v>
      </c>
      <c r="AF40" s="97">
        <f ca="1">MAX(_Saldo_Inicial _Actual - _Capital _Actual, 0)</f>
        <v>0</v>
      </c>
      <c r="AH40" s="292">
        <f>Fechas!_Dias_Interes_CAT</f>
        <v>30</v>
      </c>
      <c r="AI40" s="97">
        <f t="shared" ca="1" si="11"/>
        <v>0</v>
      </c>
      <c r="AJ40" s="293">
        <f t="shared" ca="1" si="12"/>
        <v>0</v>
      </c>
      <c r="AK40" s="376"/>
      <c r="AL40" s="376"/>
      <c r="AM40" s="376"/>
      <c r="AN40" s="383"/>
      <c r="AO40" s="300"/>
      <c r="AP40" s="32"/>
      <c r="AV40" s="350"/>
      <c r="AW40" s="350"/>
      <c r="AX40" s="350"/>
      <c r="AY40" s="350"/>
      <c r="AZ40" s="350"/>
      <c r="BC40" s="350"/>
      <c r="BD40" s="350"/>
      <c r="BE40" s="350"/>
    </row>
    <row r="41" spans="2:57">
      <c r="B41" s="32"/>
      <c r="C41" s="32"/>
      <c r="J41" s="350">
        <v>22</v>
      </c>
      <c r="K41" s="350">
        <f t="shared" ca="1" si="0"/>
        <v>10</v>
      </c>
      <c r="L41" s="32">
        <f t="shared" ca="1" si="1"/>
        <v>2</v>
      </c>
      <c r="N41" s="20">
        <f t="shared" ca="1" si="2"/>
        <v>0</v>
      </c>
      <c r="O41" s="97">
        <f t="shared" ca="1" si="3"/>
        <v>0</v>
      </c>
      <c r="Q41" s="97">
        <f ca="1">MAX( _Saldo_Final _Anterior + _Saldo_Ciclico, 0)</f>
        <v>0</v>
      </c>
      <c r="S41" s="20">
        <f t="shared" ca="1" si="4"/>
        <v>0</v>
      </c>
      <c r="T41" s="20">
        <f t="shared" ca="1" si="5"/>
        <v>0</v>
      </c>
      <c r="U41" s="20">
        <f>Fechas!_Dias_Interes_Pago</f>
        <v>30</v>
      </c>
      <c r="V41" s="20">
        <f t="shared" ca="1" si="6"/>
        <v>0</v>
      </c>
      <c r="X41" s="97">
        <f t="shared" ca="1" si="7"/>
        <v>0</v>
      </c>
      <c r="Z41" s="97">
        <f t="shared" ca="1" si="8"/>
        <v>0</v>
      </c>
      <c r="AA41" s="97">
        <f t="shared" ca="1" si="9"/>
        <v>0</v>
      </c>
      <c r="AB41" s="97">
        <f ca="1">MAX( _Calculo_Capital _Actual, _Stopper_Capital _Actual )</f>
        <v>0</v>
      </c>
      <c r="AD41" s="97">
        <f t="shared" ca="1" si="10"/>
        <v>0</v>
      </c>
      <c r="AF41" s="97">
        <f ca="1">MAX(_Saldo_Inicial _Actual - _Capital _Actual, 0)</f>
        <v>0</v>
      </c>
      <c r="AH41" s="292">
        <f>Fechas!_Dias_Interes_CAT</f>
        <v>30</v>
      </c>
      <c r="AI41" s="97">
        <f t="shared" ca="1" si="11"/>
        <v>0</v>
      </c>
      <c r="AJ41" s="293">
        <f t="shared" ca="1" si="12"/>
        <v>0</v>
      </c>
      <c r="AK41" s="376"/>
      <c r="AL41" s="376"/>
      <c r="AM41" s="376"/>
      <c r="AN41" s="383"/>
      <c r="AO41" s="300"/>
      <c r="AP41" s="32"/>
      <c r="AV41" s="350"/>
      <c r="AW41" s="350"/>
      <c r="AX41" s="350"/>
      <c r="AY41" s="350"/>
      <c r="AZ41" s="350"/>
      <c r="BC41" s="350"/>
      <c r="BD41" s="350"/>
      <c r="BE41" s="350"/>
    </row>
    <row r="42" spans="2:57">
      <c r="B42" s="301"/>
      <c r="C42" s="301"/>
      <c r="E42" s="116"/>
      <c r="F42" s="116"/>
      <c r="J42" s="350">
        <v>23</v>
      </c>
      <c r="K42" s="350">
        <f t="shared" ca="1" si="0"/>
        <v>11</v>
      </c>
      <c r="L42" s="32">
        <f t="shared" ca="1" si="1"/>
        <v>2</v>
      </c>
      <c r="N42" s="20">
        <f t="shared" ca="1" si="2"/>
        <v>0</v>
      </c>
      <c r="O42" s="97">
        <f t="shared" ca="1" si="3"/>
        <v>0</v>
      </c>
      <c r="Q42" s="97">
        <f ca="1">MAX( _Saldo_Final _Anterior + _Saldo_Ciclico, 0)</f>
        <v>0</v>
      </c>
      <c r="S42" s="20">
        <f t="shared" ca="1" si="4"/>
        <v>0</v>
      </c>
      <c r="T42" s="20">
        <f t="shared" ca="1" si="5"/>
        <v>0</v>
      </c>
      <c r="U42" s="20">
        <f>Fechas!_Dias_Interes_Pago</f>
        <v>30</v>
      </c>
      <c r="V42" s="20">
        <f t="shared" ca="1" si="6"/>
        <v>0</v>
      </c>
      <c r="X42" s="97">
        <f t="shared" ca="1" si="7"/>
        <v>0</v>
      </c>
      <c r="Z42" s="97">
        <f t="shared" ca="1" si="8"/>
        <v>0</v>
      </c>
      <c r="AA42" s="97">
        <f t="shared" ca="1" si="9"/>
        <v>0</v>
      </c>
      <c r="AB42" s="97">
        <f ca="1">MAX( _Calculo_Capital _Actual, _Stopper_Capital _Actual )</f>
        <v>0</v>
      </c>
      <c r="AD42" s="97">
        <f t="shared" ca="1" si="10"/>
        <v>0</v>
      </c>
      <c r="AF42" s="97">
        <f ca="1">MAX(_Saldo_Inicial _Actual - _Capital _Actual, 0)</f>
        <v>0</v>
      </c>
      <c r="AH42" s="292">
        <f>Fechas!_Dias_Interes_CAT</f>
        <v>30</v>
      </c>
      <c r="AI42" s="97">
        <f t="shared" ca="1" si="11"/>
        <v>0</v>
      </c>
      <c r="AJ42" s="293">
        <f t="shared" ca="1" si="12"/>
        <v>0</v>
      </c>
      <c r="AK42" s="376"/>
      <c r="AL42" s="376"/>
      <c r="AM42" s="376"/>
      <c r="AN42" s="383"/>
      <c r="AO42" s="300"/>
      <c r="AP42" s="32"/>
      <c r="AV42" s="350"/>
      <c r="AW42" s="350"/>
      <c r="AX42" s="350"/>
      <c r="AY42" s="350"/>
      <c r="AZ42" s="350"/>
      <c r="BC42" s="350"/>
      <c r="BD42" s="350"/>
      <c r="BE42" s="350"/>
    </row>
    <row r="43" spans="2:57">
      <c r="B43" s="32"/>
      <c r="C43" s="32"/>
      <c r="J43" s="350">
        <v>24</v>
      </c>
      <c r="K43" s="350">
        <f t="shared" ca="1" si="0"/>
        <v>12</v>
      </c>
      <c r="L43" s="32">
        <f t="shared" ca="1" si="1"/>
        <v>2</v>
      </c>
      <c r="N43" s="20">
        <f t="shared" ca="1" si="2"/>
        <v>0</v>
      </c>
      <c r="O43" s="97">
        <f t="shared" ca="1" si="3"/>
        <v>0</v>
      </c>
      <c r="Q43" s="97">
        <f ca="1">MAX( _Saldo_Final _Anterior + _Saldo_Ciclico, 0)</f>
        <v>0</v>
      </c>
      <c r="S43" s="20">
        <f t="shared" ca="1" si="4"/>
        <v>0</v>
      </c>
      <c r="T43" s="20">
        <f t="shared" ca="1" si="5"/>
        <v>0</v>
      </c>
      <c r="U43" s="20">
        <f>Fechas!_Dias_Interes_Pago</f>
        <v>30</v>
      </c>
      <c r="V43" s="20">
        <f t="shared" ca="1" si="6"/>
        <v>0</v>
      </c>
      <c r="X43" s="97">
        <f t="shared" ca="1" si="7"/>
        <v>0</v>
      </c>
      <c r="Z43" s="97">
        <f t="shared" ca="1" si="8"/>
        <v>0</v>
      </c>
      <c r="AA43" s="97">
        <f t="shared" ca="1" si="9"/>
        <v>0</v>
      </c>
      <c r="AB43" s="97">
        <f ca="1">MAX( _Calculo_Capital _Actual, _Stopper_Capital _Actual )</f>
        <v>0</v>
      </c>
      <c r="AD43" s="97">
        <f t="shared" ca="1" si="10"/>
        <v>0</v>
      </c>
      <c r="AF43" s="97">
        <f ca="1">MAX(_Saldo_Inicial _Actual - _Capital _Actual, 0)</f>
        <v>0</v>
      </c>
      <c r="AH43" s="292">
        <f>Fechas!_Dias_Interes_CAT</f>
        <v>30</v>
      </c>
      <c r="AI43" s="97">
        <f t="shared" ca="1" si="11"/>
        <v>0</v>
      </c>
      <c r="AJ43" s="293">
        <f t="shared" ca="1" si="12"/>
        <v>0</v>
      </c>
      <c r="AK43" s="376"/>
      <c r="AL43" s="376"/>
      <c r="AM43" s="376"/>
      <c r="AN43" s="383"/>
      <c r="AO43" s="300"/>
      <c r="AP43" s="32"/>
      <c r="AV43" s="350"/>
      <c r="AW43" s="350"/>
      <c r="AX43" s="350"/>
      <c r="AY43" s="350"/>
      <c r="AZ43" s="350"/>
      <c r="BC43" s="350"/>
      <c r="BD43" s="350"/>
      <c r="BE43" s="350"/>
    </row>
    <row r="44" spans="2:57" s="116" customFormat="1">
      <c r="B44" s="32"/>
      <c r="C44" s="32"/>
      <c r="D44"/>
      <c r="E44" s="350"/>
      <c r="F44" s="350"/>
      <c r="H44" s="361"/>
      <c r="J44" s="350">
        <v>25</v>
      </c>
      <c r="K44" s="350">
        <f t="shared" ca="1" si="0"/>
        <v>1</v>
      </c>
      <c r="L44" s="32">
        <f t="shared" ca="1" si="1"/>
        <v>3</v>
      </c>
      <c r="M44"/>
      <c r="N44" s="20">
        <f t="shared" ca="1" si="2"/>
        <v>0</v>
      </c>
      <c r="O44" s="97">
        <f t="shared" ca="1" si="3"/>
        <v>0</v>
      </c>
      <c r="P44"/>
      <c r="Q44" s="97">
        <f ca="1">MAX( _Saldo_Final _Anterior + _Saldo_Ciclico, 0)</f>
        <v>0</v>
      </c>
      <c r="R44"/>
      <c r="S44" s="20">
        <f t="shared" ca="1" si="4"/>
        <v>0</v>
      </c>
      <c r="T44" s="20">
        <f t="shared" ca="1" si="5"/>
        <v>0</v>
      </c>
      <c r="U44" s="20">
        <f>Fechas!_Dias_Interes_Pago</f>
        <v>30</v>
      </c>
      <c r="V44" s="20">
        <f t="shared" ca="1" si="6"/>
        <v>0</v>
      </c>
      <c r="W44"/>
      <c r="X44" s="97">
        <f t="shared" ca="1" si="7"/>
        <v>0</v>
      </c>
      <c r="Y44"/>
      <c r="Z44" s="97">
        <f t="shared" ca="1" si="8"/>
        <v>0</v>
      </c>
      <c r="AA44" s="97">
        <f t="shared" ca="1" si="9"/>
        <v>0</v>
      </c>
      <c r="AB44" s="97">
        <f ca="1">MAX( _Calculo_Capital _Actual, _Stopper_Capital _Actual )</f>
        <v>0</v>
      </c>
      <c r="AC44"/>
      <c r="AD44" s="97">
        <f t="shared" ca="1" si="10"/>
        <v>0</v>
      </c>
      <c r="AE44"/>
      <c r="AF44" s="97">
        <f ca="1">MAX(_Saldo_Inicial _Actual - _Capital _Actual, 0)</f>
        <v>0</v>
      </c>
      <c r="AH44" s="292">
        <f>Fechas!_Dias_Interes_CAT</f>
        <v>30</v>
      </c>
      <c r="AI44" s="97">
        <f t="shared" ca="1" si="11"/>
        <v>0</v>
      </c>
      <c r="AJ44" s="293">
        <f t="shared" ca="1" si="12"/>
        <v>0</v>
      </c>
      <c r="AK44" s="376"/>
      <c r="AL44" s="376"/>
      <c r="AM44" s="376"/>
      <c r="AN44" s="383"/>
      <c r="AO44" s="300"/>
      <c r="AP44" s="301"/>
    </row>
    <row r="45" spans="2:57">
      <c r="B45" s="32"/>
      <c r="C45" s="32"/>
      <c r="J45" s="350">
        <v>26</v>
      </c>
      <c r="K45" s="350">
        <f t="shared" ca="1" si="0"/>
        <v>2</v>
      </c>
      <c r="L45" s="32">
        <f t="shared" ca="1" si="1"/>
        <v>3</v>
      </c>
      <c r="N45" s="20">
        <f t="shared" ca="1" si="2"/>
        <v>0</v>
      </c>
      <c r="O45" s="97">
        <f t="shared" ca="1" si="3"/>
        <v>0</v>
      </c>
      <c r="Q45" s="97">
        <f ca="1">MAX( _Saldo_Final _Anterior + _Saldo_Ciclico, 0)</f>
        <v>0</v>
      </c>
      <c r="S45" s="20">
        <f t="shared" ca="1" si="4"/>
        <v>0</v>
      </c>
      <c r="T45" s="20">
        <f t="shared" ca="1" si="5"/>
        <v>0</v>
      </c>
      <c r="U45" s="20">
        <f>Fechas!_Dias_Interes_Pago</f>
        <v>30</v>
      </c>
      <c r="V45" s="20">
        <f t="shared" ca="1" si="6"/>
        <v>0</v>
      </c>
      <c r="X45" s="97">
        <f t="shared" ca="1" si="7"/>
        <v>0</v>
      </c>
      <c r="Z45" s="97">
        <f t="shared" ca="1" si="8"/>
        <v>0</v>
      </c>
      <c r="AA45" s="97">
        <f t="shared" ca="1" si="9"/>
        <v>0</v>
      </c>
      <c r="AB45" s="97">
        <f ca="1">MAX( _Calculo_Capital _Actual, _Stopper_Capital _Actual )</f>
        <v>0</v>
      </c>
      <c r="AD45" s="97">
        <f t="shared" ca="1" si="10"/>
        <v>0</v>
      </c>
      <c r="AF45" s="97">
        <f ca="1">MAX(_Saldo_Inicial _Actual - _Capital _Actual, 0)</f>
        <v>0</v>
      </c>
      <c r="AH45" s="292">
        <f>Fechas!_Dias_Interes_CAT</f>
        <v>30</v>
      </c>
      <c r="AI45" s="97">
        <f t="shared" ca="1" si="11"/>
        <v>0</v>
      </c>
      <c r="AJ45" s="293">
        <f t="shared" ca="1" si="12"/>
        <v>0</v>
      </c>
      <c r="AK45" s="376"/>
      <c r="AL45" s="376"/>
      <c r="AM45" s="376"/>
      <c r="AN45" s="383"/>
      <c r="AO45" s="300"/>
      <c r="AP45" s="32"/>
      <c r="AV45" s="350"/>
      <c r="AW45" s="350"/>
      <c r="AX45" s="350"/>
      <c r="AY45" s="350"/>
      <c r="AZ45" s="350"/>
      <c r="BC45" s="350"/>
      <c r="BD45" s="350"/>
      <c r="BE45" s="350"/>
    </row>
    <row r="46" spans="2:57">
      <c r="B46" s="32"/>
      <c r="C46" s="32"/>
      <c r="J46" s="350">
        <v>27</v>
      </c>
      <c r="K46" s="350">
        <f t="shared" ca="1" si="0"/>
        <v>3</v>
      </c>
      <c r="L46" s="32">
        <f t="shared" ca="1" si="1"/>
        <v>3</v>
      </c>
      <c r="N46" s="20">
        <f t="shared" ca="1" si="2"/>
        <v>0</v>
      </c>
      <c r="O46" s="97">
        <f t="shared" ca="1" si="3"/>
        <v>0</v>
      </c>
      <c r="Q46" s="97">
        <f ca="1">MAX( _Saldo_Final _Anterior + _Saldo_Ciclico, 0)</f>
        <v>0</v>
      </c>
      <c r="S46" s="20">
        <f t="shared" ca="1" si="4"/>
        <v>0</v>
      </c>
      <c r="T46" s="20">
        <f t="shared" ca="1" si="5"/>
        <v>0</v>
      </c>
      <c r="U46" s="20">
        <f>Fechas!_Dias_Interes_Pago</f>
        <v>30</v>
      </c>
      <c r="V46" s="20">
        <f t="shared" ca="1" si="6"/>
        <v>0</v>
      </c>
      <c r="X46" s="97">
        <f t="shared" ca="1" si="7"/>
        <v>0</v>
      </c>
      <c r="Z46" s="97">
        <f t="shared" ca="1" si="8"/>
        <v>0</v>
      </c>
      <c r="AA46" s="97">
        <f t="shared" ca="1" si="9"/>
        <v>0</v>
      </c>
      <c r="AB46" s="97">
        <f ca="1">MAX( _Calculo_Capital _Actual, _Stopper_Capital _Actual )</f>
        <v>0</v>
      </c>
      <c r="AD46" s="97">
        <f t="shared" ca="1" si="10"/>
        <v>0</v>
      </c>
      <c r="AF46" s="97">
        <f ca="1">MAX(_Saldo_Inicial _Actual - _Capital _Actual, 0)</f>
        <v>0</v>
      </c>
      <c r="AH46" s="292">
        <f>Fechas!_Dias_Interes_CAT</f>
        <v>30</v>
      </c>
      <c r="AI46" s="97">
        <f t="shared" ca="1" si="11"/>
        <v>0</v>
      </c>
      <c r="AJ46" s="293">
        <f t="shared" ca="1" si="12"/>
        <v>0</v>
      </c>
      <c r="AK46" s="376"/>
      <c r="AL46" s="376"/>
      <c r="AM46" s="376"/>
      <c r="AN46" s="383"/>
      <c r="AO46" s="300"/>
      <c r="AP46" s="32"/>
      <c r="AV46" s="350"/>
      <c r="AW46" s="350"/>
      <c r="AX46" s="350"/>
      <c r="AY46" s="350"/>
      <c r="AZ46" s="350"/>
      <c r="BC46" s="350"/>
      <c r="BD46" s="350"/>
      <c r="BE46" s="350"/>
    </row>
    <row r="47" spans="2:57">
      <c r="B47" s="32"/>
      <c r="C47" s="32"/>
      <c r="J47" s="350">
        <v>28</v>
      </c>
      <c r="K47" s="350">
        <f t="shared" ca="1" si="0"/>
        <v>4</v>
      </c>
      <c r="L47" s="32">
        <f t="shared" ca="1" si="1"/>
        <v>3</v>
      </c>
      <c r="N47" s="20">
        <f t="shared" ca="1" si="2"/>
        <v>0</v>
      </c>
      <c r="O47" s="97">
        <f t="shared" ca="1" si="3"/>
        <v>0</v>
      </c>
      <c r="Q47" s="97">
        <f ca="1">MAX( _Saldo_Final _Anterior + _Saldo_Ciclico, 0)</f>
        <v>0</v>
      </c>
      <c r="S47" s="20">
        <f t="shared" ca="1" si="4"/>
        <v>0</v>
      </c>
      <c r="T47" s="20">
        <f t="shared" ca="1" si="5"/>
        <v>0</v>
      </c>
      <c r="U47" s="20">
        <f>Fechas!_Dias_Interes_Pago</f>
        <v>30</v>
      </c>
      <c r="V47" s="20">
        <f t="shared" ca="1" si="6"/>
        <v>0</v>
      </c>
      <c r="X47" s="97">
        <f t="shared" ca="1" si="7"/>
        <v>0</v>
      </c>
      <c r="Z47" s="97">
        <f t="shared" ca="1" si="8"/>
        <v>0</v>
      </c>
      <c r="AA47" s="97">
        <f t="shared" ca="1" si="9"/>
        <v>0</v>
      </c>
      <c r="AB47" s="97">
        <f ca="1">MAX( _Calculo_Capital _Actual, _Stopper_Capital _Actual )</f>
        <v>0</v>
      </c>
      <c r="AD47" s="97">
        <f t="shared" ca="1" si="10"/>
        <v>0</v>
      </c>
      <c r="AF47" s="97">
        <f ca="1">MAX(_Saldo_Inicial _Actual - _Capital _Actual, 0)</f>
        <v>0</v>
      </c>
      <c r="AH47" s="292">
        <f>Fechas!_Dias_Interes_CAT</f>
        <v>30</v>
      </c>
      <c r="AI47" s="97">
        <f t="shared" ca="1" si="11"/>
        <v>0</v>
      </c>
      <c r="AJ47" s="293">
        <f t="shared" ca="1" si="12"/>
        <v>0</v>
      </c>
      <c r="AK47" s="376"/>
      <c r="AL47" s="376"/>
      <c r="AM47" s="376"/>
      <c r="AN47" s="383"/>
      <c r="AO47" s="300"/>
      <c r="AP47" s="32"/>
      <c r="AV47" s="350"/>
      <c r="AW47" s="350"/>
      <c r="AX47" s="350"/>
      <c r="AY47" s="350"/>
      <c r="AZ47" s="350"/>
      <c r="BC47" s="350"/>
      <c r="BD47" s="350"/>
      <c r="BE47" s="350"/>
    </row>
    <row r="48" spans="2:57">
      <c r="B48" s="32"/>
      <c r="C48" s="32"/>
      <c r="J48" s="350">
        <v>29</v>
      </c>
      <c r="K48" s="350">
        <f t="shared" ca="1" si="0"/>
        <v>5</v>
      </c>
      <c r="L48" s="32">
        <f t="shared" ca="1" si="1"/>
        <v>3</v>
      </c>
      <c r="N48" s="20">
        <f t="shared" ca="1" si="2"/>
        <v>0</v>
      </c>
      <c r="O48" s="97">
        <f t="shared" ca="1" si="3"/>
        <v>0</v>
      </c>
      <c r="Q48" s="97">
        <f ca="1">MAX( _Saldo_Final _Anterior + _Saldo_Ciclico, 0)</f>
        <v>0</v>
      </c>
      <c r="S48" s="20">
        <f t="shared" ca="1" si="4"/>
        <v>0</v>
      </c>
      <c r="T48" s="20">
        <f t="shared" ca="1" si="5"/>
        <v>0</v>
      </c>
      <c r="U48" s="20">
        <f>Fechas!_Dias_Interes_Pago</f>
        <v>30</v>
      </c>
      <c r="V48" s="20">
        <f t="shared" ca="1" si="6"/>
        <v>0</v>
      </c>
      <c r="X48" s="97">
        <f t="shared" ca="1" si="7"/>
        <v>0</v>
      </c>
      <c r="Z48" s="97">
        <f t="shared" ca="1" si="8"/>
        <v>0</v>
      </c>
      <c r="AA48" s="97">
        <f t="shared" ca="1" si="9"/>
        <v>0</v>
      </c>
      <c r="AB48" s="97">
        <f ca="1">MAX( _Calculo_Capital _Actual, _Stopper_Capital _Actual )</f>
        <v>0</v>
      </c>
      <c r="AD48" s="97">
        <f t="shared" ca="1" si="10"/>
        <v>0</v>
      </c>
      <c r="AF48" s="97">
        <f ca="1">MAX(_Saldo_Inicial _Actual - _Capital _Actual, 0)</f>
        <v>0</v>
      </c>
      <c r="AH48" s="292">
        <f>Fechas!_Dias_Interes_CAT</f>
        <v>30</v>
      </c>
      <c r="AI48" s="97">
        <f t="shared" ca="1" si="11"/>
        <v>0</v>
      </c>
      <c r="AJ48" s="293">
        <f t="shared" ca="1" si="12"/>
        <v>0</v>
      </c>
      <c r="AK48" s="376"/>
      <c r="AL48" s="376"/>
      <c r="AM48" s="376"/>
      <c r="AN48" s="383"/>
      <c r="AO48" s="300"/>
      <c r="AP48" s="32"/>
      <c r="AV48" s="350"/>
      <c r="AW48" s="350"/>
      <c r="AX48" s="350"/>
      <c r="AY48" s="350"/>
      <c r="AZ48" s="350"/>
      <c r="BC48" s="350"/>
      <c r="BD48" s="350"/>
      <c r="BE48" s="350"/>
    </row>
    <row r="49" spans="2:57">
      <c r="B49" s="32"/>
      <c r="C49" s="32"/>
      <c r="J49" s="350">
        <v>30</v>
      </c>
      <c r="K49" s="350">
        <f t="shared" ca="1" si="0"/>
        <v>6</v>
      </c>
      <c r="L49" s="32">
        <f t="shared" ca="1" si="1"/>
        <v>3</v>
      </c>
      <c r="N49" s="20">
        <f t="shared" ca="1" si="2"/>
        <v>0</v>
      </c>
      <c r="O49" s="97">
        <f t="shared" ca="1" si="3"/>
        <v>0</v>
      </c>
      <c r="Q49" s="97">
        <f ca="1">MAX( _Saldo_Final _Anterior + _Saldo_Ciclico, 0)</f>
        <v>0</v>
      </c>
      <c r="S49" s="20">
        <f t="shared" ca="1" si="4"/>
        <v>0</v>
      </c>
      <c r="T49" s="20">
        <f t="shared" ca="1" si="5"/>
        <v>0</v>
      </c>
      <c r="U49" s="20">
        <f>Fechas!_Dias_Interes_Pago</f>
        <v>30</v>
      </c>
      <c r="V49" s="20">
        <f t="shared" ca="1" si="6"/>
        <v>0</v>
      </c>
      <c r="X49" s="97">
        <f t="shared" ca="1" si="7"/>
        <v>0</v>
      </c>
      <c r="Z49" s="97">
        <f t="shared" ca="1" si="8"/>
        <v>0</v>
      </c>
      <c r="AA49" s="97">
        <f t="shared" ca="1" si="9"/>
        <v>0</v>
      </c>
      <c r="AB49" s="97">
        <f ca="1">MAX( _Calculo_Capital _Actual, _Stopper_Capital _Actual )</f>
        <v>0</v>
      </c>
      <c r="AD49" s="97">
        <f t="shared" ca="1" si="10"/>
        <v>0</v>
      </c>
      <c r="AF49" s="97">
        <f ca="1">MAX(_Saldo_Inicial _Actual - _Capital _Actual, 0)</f>
        <v>0</v>
      </c>
      <c r="AH49" s="292">
        <f>Fechas!_Dias_Interes_CAT</f>
        <v>30</v>
      </c>
      <c r="AI49" s="97">
        <f t="shared" ca="1" si="11"/>
        <v>0</v>
      </c>
      <c r="AJ49" s="293">
        <f t="shared" ca="1" si="12"/>
        <v>0</v>
      </c>
      <c r="AK49" s="376"/>
      <c r="AL49" s="376"/>
      <c r="AM49" s="376"/>
      <c r="AN49" s="383"/>
      <c r="AO49" s="300"/>
      <c r="AP49" s="32"/>
      <c r="AV49" s="350"/>
      <c r="AW49" s="350"/>
      <c r="AX49" s="350"/>
      <c r="AY49" s="350"/>
      <c r="AZ49" s="350"/>
      <c r="BC49" s="350"/>
      <c r="BD49" s="350"/>
      <c r="BE49" s="350"/>
    </row>
    <row r="50" spans="2:57">
      <c r="B50" s="32"/>
      <c r="C50" s="32"/>
      <c r="J50" s="350">
        <v>31</v>
      </c>
      <c r="K50" s="350">
        <f t="shared" ca="1" si="0"/>
        <v>7</v>
      </c>
      <c r="L50" s="32">
        <f t="shared" ca="1" si="1"/>
        <v>3</v>
      </c>
      <c r="N50" s="20">
        <f t="shared" ca="1" si="2"/>
        <v>0</v>
      </c>
      <c r="O50" s="97">
        <f t="shared" ca="1" si="3"/>
        <v>0</v>
      </c>
      <c r="Q50" s="97">
        <f ca="1">MAX( _Saldo_Final _Anterior + _Saldo_Ciclico, 0)</f>
        <v>0</v>
      </c>
      <c r="S50" s="20">
        <f t="shared" ca="1" si="4"/>
        <v>0</v>
      </c>
      <c r="T50" s="20">
        <f t="shared" ca="1" si="5"/>
        <v>0</v>
      </c>
      <c r="U50" s="20">
        <f>Fechas!_Dias_Interes_Pago</f>
        <v>30</v>
      </c>
      <c r="V50" s="20">
        <f t="shared" ca="1" si="6"/>
        <v>0</v>
      </c>
      <c r="X50" s="97">
        <f t="shared" ca="1" si="7"/>
        <v>0</v>
      </c>
      <c r="Z50" s="97">
        <f t="shared" ca="1" si="8"/>
        <v>0</v>
      </c>
      <c r="AA50" s="97">
        <f t="shared" ca="1" si="9"/>
        <v>0</v>
      </c>
      <c r="AB50" s="97">
        <f ca="1">MAX( _Calculo_Capital _Actual, _Stopper_Capital _Actual )</f>
        <v>0</v>
      </c>
      <c r="AD50" s="97">
        <f t="shared" ca="1" si="10"/>
        <v>0</v>
      </c>
      <c r="AF50" s="97">
        <f ca="1">MAX(_Saldo_Inicial _Actual - _Capital _Actual, 0)</f>
        <v>0</v>
      </c>
      <c r="AH50" s="292">
        <f>Fechas!_Dias_Interes_CAT</f>
        <v>30</v>
      </c>
      <c r="AI50" s="97">
        <f t="shared" ca="1" si="11"/>
        <v>0</v>
      </c>
      <c r="AJ50" s="293">
        <f t="shared" ca="1" si="12"/>
        <v>0</v>
      </c>
      <c r="AK50" s="376"/>
      <c r="AL50" s="376"/>
      <c r="AM50" s="376"/>
      <c r="AN50" s="383"/>
      <c r="AO50" s="300"/>
      <c r="AP50" s="32"/>
      <c r="AV50" s="350"/>
      <c r="AW50" s="350"/>
      <c r="AX50" s="350"/>
      <c r="AY50" s="350"/>
      <c r="AZ50" s="350"/>
      <c r="BC50" s="350"/>
      <c r="BD50" s="350"/>
      <c r="BE50" s="350"/>
    </row>
    <row r="51" spans="2:57">
      <c r="B51" s="32"/>
      <c r="C51" s="32"/>
      <c r="J51" s="350">
        <v>32</v>
      </c>
      <c r="K51" s="350">
        <f t="shared" ca="1" si="0"/>
        <v>8</v>
      </c>
      <c r="L51" s="32">
        <f t="shared" ca="1" si="1"/>
        <v>3</v>
      </c>
      <c r="N51" s="20">
        <f t="shared" ca="1" si="2"/>
        <v>0</v>
      </c>
      <c r="O51" s="97">
        <f t="shared" ca="1" si="3"/>
        <v>0</v>
      </c>
      <c r="Q51" s="97">
        <f ca="1">MAX( _Saldo_Final _Anterior + _Saldo_Ciclico, 0)</f>
        <v>0</v>
      </c>
      <c r="S51" s="20">
        <f t="shared" ca="1" si="4"/>
        <v>0</v>
      </c>
      <c r="T51" s="20">
        <f t="shared" ca="1" si="5"/>
        <v>0</v>
      </c>
      <c r="U51" s="20">
        <f>Fechas!_Dias_Interes_Pago</f>
        <v>30</v>
      </c>
      <c r="V51" s="20">
        <f t="shared" ca="1" si="6"/>
        <v>0</v>
      </c>
      <c r="X51" s="97">
        <f t="shared" ca="1" si="7"/>
        <v>0</v>
      </c>
      <c r="Z51" s="97">
        <f t="shared" ca="1" si="8"/>
        <v>0</v>
      </c>
      <c r="AA51" s="97">
        <f t="shared" ca="1" si="9"/>
        <v>0</v>
      </c>
      <c r="AB51" s="97">
        <f ca="1">MAX( _Calculo_Capital _Actual, _Stopper_Capital _Actual )</f>
        <v>0</v>
      </c>
      <c r="AD51" s="97">
        <f t="shared" ca="1" si="10"/>
        <v>0</v>
      </c>
      <c r="AF51" s="97">
        <f ca="1">MAX(_Saldo_Inicial _Actual - _Capital _Actual, 0)</f>
        <v>0</v>
      </c>
      <c r="AH51" s="292">
        <f>Fechas!_Dias_Interes_CAT</f>
        <v>30</v>
      </c>
      <c r="AI51" s="97">
        <f t="shared" ca="1" si="11"/>
        <v>0</v>
      </c>
      <c r="AJ51" s="293">
        <f t="shared" ca="1" si="12"/>
        <v>0</v>
      </c>
      <c r="AK51" s="376"/>
      <c r="AL51" s="376"/>
      <c r="AM51" s="376"/>
      <c r="AN51" s="383"/>
      <c r="AO51" s="300"/>
      <c r="AP51" s="32"/>
      <c r="AV51" s="350"/>
      <c r="AW51" s="350"/>
      <c r="AX51" s="350"/>
      <c r="AY51" s="350"/>
      <c r="AZ51" s="350"/>
      <c r="BC51" s="350"/>
      <c r="BD51" s="350"/>
      <c r="BE51" s="350"/>
    </row>
    <row r="52" spans="2:57">
      <c r="B52" s="32"/>
      <c r="C52" s="32"/>
      <c r="J52" s="350">
        <v>33</v>
      </c>
      <c r="K52" s="350">
        <f t="shared" ref="K52:K78" ca="1" si="13">MOD( _Amortizacion - 1, Periodos.Por.Ciclo ) + 1</f>
        <v>9</v>
      </c>
      <c r="L52" s="32">
        <f t="shared" ref="L52:L78" ca="1" si="14">INT(( _Amortizacion - 1 ) / Periodos.Por.Ciclo ) + 1</f>
        <v>3</v>
      </c>
      <c r="N52" s="20">
        <f t="shared" ca="1" si="2"/>
        <v>0</v>
      </c>
      <c r="O52" s="97">
        <f t="shared" ref="O52:O78" ca="1" si="15" xml:space="preserve"> ( Pago.Fijo + ( Pago.Extra.Ciclo.1 * ( _Ciclo = 1 ) ) ) * ( _Amortizacion &lt;= Numero.Pagos )</f>
        <v>0</v>
      </c>
      <c r="Q52" s="97">
        <f ca="1">MAX( _Saldo_Final _Anterior + _Saldo_Ciclico, 0)</f>
        <v>0</v>
      </c>
      <c r="S52" s="20">
        <f t="shared" ca="1" si="4"/>
        <v>0</v>
      </c>
      <c r="T52" s="20">
        <f t="shared" ca="1" si="5"/>
        <v>0</v>
      </c>
      <c r="U52" s="20">
        <f>Fechas!_Dias_Interes_Pago</f>
        <v>30</v>
      </c>
      <c r="V52" s="20">
        <f t="shared" ca="1" si="6"/>
        <v>0</v>
      </c>
      <c r="X52" s="97">
        <f t="shared" ca="1" si="7"/>
        <v>0</v>
      </c>
      <c r="Z52" s="97">
        <f t="shared" ca="1" si="8"/>
        <v>0</v>
      </c>
      <c r="AA52" s="97">
        <f t="shared" ca="1" si="9"/>
        <v>0</v>
      </c>
      <c r="AB52" s="97">
        <f ca="1">MAX( _Calculo_Capital _Actual, _Stopper_Capital _Actual )</f>
        <v>0</v>
      </c>
      <c r="AD52" s="97">
        <f t="shared" ca="1" si="10"/>
        <v>0</v>
      </c>
      <c r="AF52" s="97">
        <f ca="1">MAX(_Saldo_Inicial _Actual - _Capital _Actual, 0)</f>
        <v>0</v>
      </c>
      <c r="AH52" s="292">
        <f>Fechas!_Dias_Interes_CAT</f>
        <v>30</v>
      </c>
      <c r="AI52" s="97">
        <f t="shared" ca="1" si="11"/>
        <v>0</v>
      </c>
      <c r="AJ52" s="293">
        <f t="shared" ca="1" si="12"/>
        <v>0</v>
      </c>
      <c r="AK52" s="376"/>
      <c r="AL52" s="376"/>
      <c r="AM52" s="376"/>
      <c r="AN52" s="383"/>
      <c r="AO52" s="300"/>
      <c r="AP52" s="32"/>
      <c r="AV52" s="350"/>
      <c r="AW52" s="350"/>
      <c r="AX52" s="350"/>
      <c r="AY52" s="350"/>
      <c r="AZ52" s="350"/>
      <c r="BC52" s="350"/>
      <c r="BD52" s="350"/>
      <c r="BE52" s="350"/>
    </row>
    <row r="53" spans="2:57">
      <c r="B53" s="32"/>
      <c r="C53" s="32"/>
      <c r="J53" s="350">
        <v>34</v>
      </c>
      <c r="K53" s="350">
        <f t="shared" ca="1" si="13"/>
        <v>10</v>
      </c>
      <c r="L53" s="32">
        <f t="shared" ca="1" si="14"/>
        <v>3</v>
      </c>
      <c r="N53" s="20">
        <f t="shared" ca="1" si="2"/>
        <v>0</v>
      </c>
      <c r="O53" s="97">
        <f t="shared" ca="1" si="15"/>
        <v>0</v>
      </c>
      <c r="Q53" s="97">
        <f ca="1">MAX( _Saldo_Final _Anterior + _Saldo_Ciclico, 0)</f>
        <v>0</v>
      </c>
      <c r="S53" s="20">
        <f t="shared" ca="1" si="4"/>
        <v>0</v>
      </c>
      <c r="T53" s="20">
        <f t="shared" ca="1" si="5"/>
        <v>0</v>
      </c>
      <c r="U53" s="20">
        <f>Fechas!_Dias_Interes_Pago</f>
        <v>30</v>
      </c>
      <c r="V53" s="20">
        <f t="shared" ca="1" si="6"/>
        <v>0</v>
      </c>
      <c r="X53" s="97">
        <f t="shared" ca="1" si="7"/>
        <v>0</v>
      </c>
      <c r="Z53" s="97">
        <f t="shared" ca="1" si="8"/>
        <v>0</v>
      </c>
      <c r="AA53" s="97">
        <f t="shared" ca="1" si="9"/>
        <v>0</v>
      </c>
      <c r="AB53" s="97">
        <f ca="1">MAX( _Calculo_Capital _Actual, _Stopper_Capital _Actual )</f>
        <v>0</v>
      </c>
      <c r="AD53" s="97">
        <f t="shared" ca="1" si="10"/>
        <v>0</v>
      </c>
      <c r="AF53" s="97">
        <f ca="1">MAX(_Saldo_Inicial _Actual - _Capital _Actual, 0)</f>
        <v>0</v>
      </c>
      <c r="AH53" s="292">
        <f>Fechas!_Dias_Interes_CAT</f>
        <v>30</v>
      </c>
      <c r="AI53" s="97">
        <f t="shared" ca="1" si="11"/>
        <v>0</v>
      </c>
      <c r="AJ53" s="293">
        <f t="shared" ca="1" si="12"/>
        <v>0</v>
      </c>
      <c r="AK53" s="376"/>
      <c r="AL53" s="376"/>
      <c r="AM53" s="376"/>
      <c r="AN53" s="383"/>
      <c r="AO53" s="300"/>
      <c r="AP53" s="32"/>
      <c r="AV53" s="350"/>
      <c r="AW53" s="350"/>
      <c r="AX53" s="350"/>
      <c r="AY53" s="350"/>
      <c r="AZ53" s="350"/>
      <c r="BC53" s="350"/>
      <c r="BD53" s="350"/>
      <c r="BE53" s="350"/>
    </row>
    <row r="54" spans="2:57">
      <c r="B54" s="32"/>
      <c r="C54" s="32"/>
      <c r="J54" s="350">
        <v>35</v>
      </c>
      <c r="K54" s="350">
        <f t="shared" ca="1" si="13"/>
        <v>11</v>
      </c>
      <c r="L54" s="32">
        <f t="shared" ca="1" si="14"/>
        <v>3</v>
      </c>
      <c r="N54" s="20">
        <f t="shared" ca="1" si="2"/>
        <v>0</v>
      </c>
      <c r="O54" s="97">
        <f t="shared" ca="1" si="15"/>
        <v>0</v>
      </c>
      <c r="Q54" s="97">
        <f ca="1">MAX( _Saldo_Final _Anterior + _Saldo_Ciclico, 0)</f>
        <v>0</v>
      </c>
      <c r="S54" s="20">
        <f t="shared" ca="1" si="4"/>
        <v>0</v>
      </c>
      <c r="T54" s="20">
        <f t="shared" ca="1" si="5"/>
        <v>0</v>
      </c>
      <c r="U54" s="20">
        <f>Fechas!_Dias_Interes_Pago</f>
        <v>30</v>
      </c>
      <c r="V54" s="20">
        <f t="shared" ca="1" si="6"/>
        <v>0</v>
      </c>
      <c r="X54" s="97">
        <f t="shared" ca="1" si="7"/>
        <v>0</v>
      </c>
      <c r="Z54" s="97">
        <f t="shared" ca="1" si="8"/>
        <v>0</v>
      </c>
      <c r="AA54" s="97">
        <f t="shared" ca="1" si="9"/>
        <v>0</v>
      </c>
      <c r="AB54" s="97">
        <f ca="1">MAX( _Calculo_Capital _Actual, _Stopper_Capital _Actual )</f>
        <v>0</v>
      </c>
      <c r="AD54" s="97">
        <f t="shared" ca="1" si="10"/>
        <v>0</v>
      </c>
      <c r="AF54" s="97">
        <f ca="1">MAX(_Saldo_Inicial _Actual - _Capital _Actual, 0)</f>
        <v>0</v>
      </c>
      <c r="AH54" s="292">
        <f>Fechas!_Dias_Interes_CAT</f>
        <v>30</v>
      </c>
      <c r="AI54" s="97">
        <f t="shared" ca="1" si="11"/>
        <v>0</v>
      </c>
      <c r="AJ54" s="293">
        <f t="shared" ca="1" si="12"/>
        <v>0</v>
      </c>
      <c r="AK54" s="376"/>
      <c r="AL54" s="376"/>
      <c r="AM54" s="376"/>
      <c r="AN54" s="383"/>
      <c r="AO54" s="300"/>
      <c r="AP54" s="32"/>
      <c r="AV54" s="350"/>
      <c r="AW54" s="350"/>
      <c r="AX54" s="350"/>
      <c r="AY54" s="350"/>
      <c r="AZ54" s="350"/>
      <c r="BC54" s="350"/>
      <c r="BD54" s="350"/>
      <c r="BE54" s="350"/>
    </row>
    <row r="55" spans="2:57">
      <c r="B55" s="32"/>
      <c r="C55" s="32"/>
      <c r="J55" s="350">
        <v>36</v>
      </c>
      <c r="K55" s="350">
        <f t="shared" ca="1" si="13"/>
        <v>12</v>
      </c>
      <c r="L55" s="32">
        <f t="shared" ca="1" si="14"/>
        <v>3</v>
      </c>
      <c r="N55" s="20">
        <f t="shared" ca="1" si="2"/>
        <v>0</v>
      </c>
      <c r="O55" s="97">
        <f t="shared" ca="1" si="15"/>
        <v>0</v>
      </c>
      <c r="Q55" s="97">
        <f ca="1">MAX( _Saldo_Final _Anterior + _Saldo_Ciclico, 0)</f>
        <v>0</v>
      </c>
      <c r="S55" s="20">
        <f t="shared" ca="1" si="4"/>
        <v>0</v>
      </c>
      <c r="T55" s="20">
        <f t="shared" ca="1" si="5"/>
        <v>0</v>
      </c>
      <c r="U55" s="20">
        <f>Fechas!_Dias_Interes_Pago</f>
        <v>30</v>
      </c>
      <c r="V55" s="20">
        <f t="shared" ca="1" si="6"/>
        <v>0</v>
      </c>
      <c r="X55" s="97">
        <f t="shared" ca="1" si="7"/>
        <v>0</v>
      </c>
      <c r="Z55" s="97">
        <f t="shared" ca="1" si="8"/>
        <v>0</v>
      </c>
      <c r="AA55" s="97">
        <f t="shared" ca="1" si="9"/>
        <v>0</v>
      </c>
      <c r="AB55" s="97">
        <f ca="1">MAX( _Calculo_Capital _Actual, _Stopper_Capital _Actual )</f>
        <v>0</v>
      </c>
      <c r="AD55" s="97">
        <f t="shared" ca="1" si="10"/>
        <v>0</v>
      </c>
      <c r="AF55" s="97">
        <f ca="1">MAX(_Saldo_Inicial _Actual - _Capital _Actual, 0)</f>
        <v>0</v>
      </c>
      <c r="AH55" s="292">
        <f>Fechas!_Dias_Interes_CAT</f>
        <v>30</v>
      </c>
      <c r="AI55" s="97">
        <f t="shared" ca="1" si="11"/>
        <v>0</v>
      </c>
      <c r="AJ55" s="293">
        <f t="shared" ca="1" si="12"/>
        <v>0</v>
      </c>
      <c r="AK55" s="376"/>
      <c r="AL55" s="376"/>
      <c r="AM55" s="376"/>
      <c r="AN55" s="383"/>
      <c r="AO55" s="300"/>
      <c r="AP55" s="32"/>
      <c r="AV55" s="350"/>
      <c r="AW55" s="350"/>
      <c r="AX55" s="350"/>
      <c r="AY55" s="350"/>
      <c r="AZ55" s="350"/>
      <c r="BC55" s="350"/>
      <c r="BD55" s="350"/>
      <c r="BE55" s="350"/>
    </row>
    <row r="56" spans="2:57">
      <c r="B56" s="32"/>
      <c r="C56" s="32"/>
      <c r="J56" s="350">
        <v>37</v>
      </c>
      <c r="K56" s="350">
        <f t="shared" ca="1" si="13"/>
        <v>1</v>
      </c>
      <c r="L56" s="32">
        <f t="shared" ca="1" si="14"/>
        <v>4</v>
      </c>
      <c r="N56" s="20">
        <f t="shared" ca="1" si="2"/>
        <v>0</v>
      </c>
      <c r="O56" s="97">
        <f t="shared" ca="1" si="15"/>
        <v>0</v>
      </c>
      <c r="Q56" s="97">
        <f ca="1">MAX( _Saldo_Final _Anterior + _Saldo_Ciclico, 0)</f>
        <v>0</v>
      </c>
      <c r="S56" s="20">
        <f t="shared" ca="1" si="4"/>
        <v>0</v>
      </c>
      <c r="T56" s="20">
        <f t="shared" ca="1" si="5"/>
        <v>0</v>
      </c>
      <c r="U56" s="20">
        <f>Fechas!_Dias_Interes_Pago</f>
        <v>30</v>
      </c>
      <c r="V56" s="20">
        <f t="shared" ca="1" si="6"/>
        <v>0</v>
      </c>
      <c r="X56" s="97">
        <f t="shared" ca="1" si="7"/>
        <v>0</v>
      </c>
      <c r="Z56" s="97">
        <f t="shared" ca="1" si="8"/>
        <v>0</v>
      </c>
      <c r="AA56" s="97">
        <f t="shared" ca="1" si="9"/>
        <v>0</v>
      </c>
      <c r="AB56" s="97">
        <f ca="1">MAX( _Calculo_Capital _Actual, _Stopper_Capital _Actual )</f>
        <v>0</v>
      </c>
      <c r="AD56" s="97">
        <f t="shared" ca="1" si="10"/>
        <v>0</v>
      </c>
      <c r="AF56" s="97">
        <f ca="1">MAX(_Saldo_Inicial _Actual - _Capital _Actual, 0)</f>
        <v>0</v>
      </c>
      <c r="AH56" s="292">
        <f>Fechas!_Dias_Interes_CAT</f>
        <v>30</v>
      </c>
      <c r="AI56" s="97">
        <f t="shared" ca="1" si="11"/>
        <v>0</v>
      </c>
      <c r="AJ56" s="293">
        <f t="shared" ca="1" si="12"/>
        <v>0</v>
      </c>
      <c r="AK56" s="376"/>
      <c r="AL56" s="376"/>
      <c r="AM56" s="376"/>
      <c r="AN56" s="383"/>
      <c r="AO56" s="300"/>
      <c r="AP56" s="32"/>
      <c r="AV56" s="350"/>
      <c r="AW56" s="350"/>
      <c r="AX56" s="350"/>
      <c r="AY56" s="350"/>
      <c r="AZ56" s="350"/>
      <c r="BC56" s="350"/>
      <c r="BD56" s="350"/>
      <c r="BE56" s="350"/>
    </row>
    <row r="57" spans="2:57">
      <c r="B57" s="32"/>
      <c r="C57" s="32"/>
      <c r="J57" s="350">
        <v>38</v>
      </c>
      <c r="K57" s="350">
        <f t="shared" ca="1" si="13"/>
        <v>2</v>
      </c>
      <c r="L57" s="32">
        <f t="shared" ca="1" si="14"/>
        <v>4</v>
      </c>
      <c r="N57" s="20">
        <f t="shared" ca="1" si="2"/>
        <v>0</v>
      </c>
      <c r="O57" s="97">
        <f t="shared" ca="1" si="15"/>
        <v>0</v>
      </c>
      <c r="Q57" s="97">
        <f ca="1">MAX( _Saldo_Final _Anterior + _Saldo_Ciclico, 0)</f>
        <v>0</v>
      </c>
      <c r="S57" s="20">
        <f t="shared" ca="1" si="4"/>
        <v>0</v>
      </c>
      <c r="T57" s="20">
        <f t="shared" ca="1" si="5"/>
        <v>0</v>
      </c>
      <c r="U57" s="20">
        <f>Fechas!_Dias_Interes_Pago</f>
        <v>30</v>
      </c>
      <c r="V57" s="20">
        <f t="shared" ca="1" si="6"/>
        <v>0</v>
      </c>
      <c r="X57" s="97">
        <f t="shared" ca="1" si="7"/>
        <v>0</v>
      </c>
      <c r="Z57" s="97">
        <f t="shared" ca="1" si="8"/>
        <v>0</v>
      </c>
      <c r="AA57" s="97">
        <f t="shared" ca="1" si="9"/>
        <v>0</v>
      </c>
      <c r="AB57" s="97">
        <f ca="1">MAX( _Calculo_Capital _Actual, _Stopper_Capital _Actual )</f>
        <v>0</v>
      </c>
      <c r="AD57" s="97">
        <f t="shared" ca="1" si="10"/>
        <v>0</v>
      </c>
      <c r="AF57" s="97">
        <f ca="1">MAX(_Saldo_Inicial _Actual - _Capital _Actual, 0)</f>
        <v>0</v>
      </c>
      <c r="AH57" s="292">
        <f>Fechas!_Dias_Interes_CAT</f>
        <v>30</v>
      </c>
      <c r="AI57" s="97">
        <f t="shared" ca="1" si="11"/>
        <v>0</v>
      </c>
      <c r="AJ57" s="293">
        <f t="shared" ca="1" si="12"/>
        <v>0</v>
      </c>
      <c r="AK57" s="376"/>
      <c r="AL57" s="376"/>
      <c r="AM57" s="376"/>
      <c r="AN57" s="102"/>
      <c r="AO57" s="32"/>
      <c r="AP57" s="32"/>
      <c r="AV57" s="350"/>
      <c r="AW57" s="350"/>
      <c r="AX57" s="350"/>
      <c r="AY57" s="350"/>
      <c r="AZ57" s="350"/>
      <c r="BC57" s="350"/>
      <c r="BD57" s="350"/>
      <c r="BE57" s="350"/>
    </row>
    <row r="58" spans="2:57">
      <c r="B58" s="32"/>
      <c r="C58" s="32"/>
      <c r="J58" s="350">
        <v>39</v>
      </c>
      <c r="K58" s="350">
        <f t="shared" ca="1" si="13"/>
        <v>3</v>
      </c>
      <c r="L58" s="32">
        <f t="shared" ca="1" si="14"/>
        <v>4</v>
      </c>
      <c r="N58" s="20">
        <f t="shared" ca="1" si="2"/>
        <v>0</v>
      </c>
      <c r="O58" s="97">
        <f t="shared" ca="1" si="15"/>
        <v>0</v>
      </c>
      <c r="Q58" s="97">
        <f ca="1">MAX( _Saldo_Final _Anterior + _Saldo_Ciclico, 0)</f>
        <v>0</v>
      </c>
      <c r="S58" s="20">
        <f t="shared" ca="1" si="4"/>
        <v>0</v>
      </c>
      <c r="T58" s="20">
        <f t="shared" ca="1" si="5"/>
        <v>0</v>
      </c>
      <c r="U58" s="20">
        <f>Fechas!_Dias_Interes_Pago</f>
        <v>30</v>
      </c>
      <c r="V58" s="20">
        <f t="shared" ca="1" si="6"/>
        <v>0</v>
      </c>
      <c r="X58" s="97">
        <f t="shared" ca="1" si="7"/>
        <v>0</v>
      </c>
      <c r="Z58" s="97">
        <f t="shared" ca="1" si="8"/>
        <v>0</v>
      </c>
      <c r="AA58" s="97">
        <f t="shared" ca="1" si="9"/>
        <v>0</v>
      </c>
      <c r="AB58" s="97">
        <f ca="1">MAX( _Calculo_Capital _Actual, _Stopper_Capital _Actual )</f>
        <v>0</v>
      </c>
      <c r="AD58" s="97">
        <f t="shared" ca="1" si="10"/>
        <v>0</v>
      </c>
      <c r="AF58" s="97">
        <f ca="1">MAX(_Saldo_Inicial _Actual - _Capital _Actual, 0)</f>
        <v>0</v>
      </c>
      <c r="AH58" s="292">
        <f>Fechas!_Dias_Interes_CAT</f>
        <v>30</v>
      </c>
      <c r="AI58" s="97">
        <f t="shared" ca="1" si="11"/>
        <v>0</v>
      </c>
      <c r="AJ58" s="293">
        <f t="shared" ca="1" si="12"/>
        <v>0</v>
      </c>
      <c r="AK58" s="376"/>
      <c r="AL58" s="376"/>
      <c r="AM58" s="376"/>
      <c r="AN58" s="102"/>
      <c r="AO58" s="32"/>
      <c r="AP58" s="32"/>
      <c r="AV58" s="350"/>
      <c r="AW58" s="350"/>
      <c r="AX58" s="350"/>
      <c r="AY58" s="350"/>
      <c r="AZ58" s="350"/>
      <c r="BC58" s="350"/>
      <c r="BD58" s="350"/>
      <c r="BE58" s="350"/>
    </row>
    <row r="59" spans="2:57">
      <c r="B59" s="32"/>
      <c r="C59" s="32"/>
      <c r="J59" s="350">
        <v>40</v>
      </c>
      <c r="K59" s="350">
        <f t="shared" ca="1" si="13"/>
        <v>4</v>
      </c>
      <c r="L59" s="32">
        <f t="shared" ca="1" si="14"/>
        <v>4</v>
      </c>
      <c r="N59" s="20">
        <f t="shared" ca="1" si="2"/>
        <v>0</v>
      </c>
      <c r="O59" s="97">
        <f t="shared" ca="1" si="15"/>
        <v>0</v>
      </c>
      <c r="Q59" s="97">
        <f ca="1">MAX( _Saldo_Final _Anterior + _Saldo_Ciclico, 0)</f>
        <v>0</v>
      </c>
      <c r="S59" s="20">
        <f t="shared" ca="1" si="4"/>
        <v>0</v>
      </c>
      <c r="T59" s="20">
        <f t="shared" ca="1" si="5"/>
        <v>0</v>
      </c>
      <c r="U59" s="20">
        <f>Fechas!_Dias_Interes_Pago</f>
        <v>30</v>
      </c>
      <c r="V59" s="20">
        <f t="shared" ca="1" si="6"/>
        <v>0</v>
      </c>
      <c r="X59" s="97">
        <f t="shared" ca="1" si="7"/>
        <v>0</v>
      </c>
      <c r="Z59" s="97">
        <f t="shared" ca="1" si="8"/>
        <v>0</v>
      </c>
      <c r="AA59" s="97">
        <f t="shared" ca="1" si="9"/>
        <v>0</v>
      </c>
      <c r="AB59" s="97">
        <f ca="1">MAX( _Calculo_Capital _Actual, _Stopper_Capital _Actual )</f>
        <v>0</v>
      </c>
      <c r="AD59" s="97">
        <f t="shared" ca="1" si="10"/>
        <v>0</v>
      </c>
      <c r="AF59" s="97">
        <f ca="1">MAX(_Saldo_Inicial _Actual - _Capital _Actual, 0)</f>
        <v>0</v>
      </c>
      <c r="AH59" s="292">
        <f>Fechas!_Dias_Interes_CAT</f>
        <v>30</v>
      </c>
      <c r="AI59" s="97">
        <f t="shared" ca="1" si="11"/>
        <v>0</v>
      </c>
      <c r="AJ59" s="293">
        <f t="shared" ca="1" si="12"/>
        <v>0</v>
      </c>
      <c r="AK59" s="376"/>
      <c r="AL59" s="376"/>
      <c r="AM59" s="376"/>
      <c r="AN59" s="102"/>
      <c r="AO59" s="32"/>
      <c r="AP59" s="32"/>
      <c r="AV59" s="350"/>
      <c r="AW59" s="350"/>
      <c r="AX59" s="350"/>
      <c r="AY59" s="350"/>
      <c r="AZ59" s="350"/>
      <c r="BC59" s="350"/>
      <c r="BD59" s="350"/>
      <c r="BE59" s="350"/>
    </row>
    <row r="60" spans="2:57">
      <c r="B60" s="32"/>
      <c r="C60" s="32"/>
      <c r="J60" s="350">
        <v>41</v>
      </c>
      <c r="K60" s="350">
        <f t="shared" ca="1" si="13"/>
        <v>5</v>
      </c>
      <c r="L60" s="32">
        <f t="shared" ca="1" si="14"/>
        <v>4</v>
      </c>
      <c r="N60" s="20">
        <f t="shared" ca="1" si="2"/>
        <v>0</v>
      </c>
      <c r="O60" s="97">
        <f t="shared" ca="1" si="15"/>
        <v>0</v>
      </c>
      <c r="Q60" s="97">
        <f ca="1">MAX( _Saldo_Final _Anterior + _Saldo_Ciclico, 0)</f>
        <v>0</v>
      </c>
      <c r="S60" s="20">
        <f t="shared" ca="1" si="4"/>
        <v>0</v>
      </c>
      <c r="T60" s="20">
        <f t="shared" ca="1" si="5"/>
        <v>0</v>
      </c>
      <c r="U60" s="20">
        <f>Fechas!_Dias_Interes_Pago</f>
        <v>30</v>
      </c>
      <c r="V60" s="20">
        <f t="shared" ca="1" si="6"/>
        <v>0</v>
      </c>
      <c r="X60" s="97">
        <f t="shared" ca="1" si="7"/>
        <v>0</v>
      </c>
      <c r="Z60" s="97">
        <f t="shared" ca="1" si="8"/>
        <v>0</v>
      </c>
      <c r="AA60" s="97">
        <f t="shared" ca="1" si="9"/>
        <v>0</v>
      </c>
      <c r="AB60" s="97">
        <f ca="1">MAX( _Calculo_Capital _Actual, _Stopper_Capital _Actual )</f>
        <v>0</v>
      </c>
      <c r="AD60" s="97">
        <f t="shared" ca="1" si="10"/>
        <v>0</v>
      </c>
      <c r="AF60" s="97">
        <f ca="1">MAX(_Saldo_Inicial _Actual - _Capital _Actual, 0)</f>
        <v>0</v>
      </c>
      <c r="AH60" s="292">
        <f>Fechas!_Dias_Interes_CAT</f>
        <v>30</v>
      </c>
      <c r="AI60" s="97">
        <f t="shared" ca="1" si="11"/>
        <v>0</v>
      </c>
      <c r="AJ60" s="293">
        <f t="shared" ca="1" si="12"/>
        <v>0</v>
      </c>
      <c r="AK60" s="376"/>
      <c r="AL60" s="376"/>
      <c r="AM60" s="376"/>
      <c r="AN60" s="102"/>
      <c r="AO60" s="32"/>
      <c r="AP60" s="32"/>
      <c r="AV60" s="350"/>
      <c r="AW60" s="350"/>
      <c r="AX60" s="350"/>
      <c r="AY60" s="350"/>
      <c r="AZ60" s="350"/>
      <c r="BC60" s="350"/>
      <c r="BD60" s="350"/>
      <c r="BE60" s="350"/>
    </row>
    <row r="61" spans="2:57">
      <c r="B61" s="32"/>
      <c r="C61" s="32"/>
      <c r="J61" s="350">
        <v>42</v>
      </c>
      <c r="K61" s="350">
        <f t="shared" ca="1" si="13"/>
        <v>6</v>
      </c>
      <c r="L61" s="32">
        <f t="shared" ca="1" si="14"/>
        <v>4</v>
      </c>
      <c r="N61" s="20">
        <f t="shared" ca="1" si="2"/>
        <v>0</v>
      </c>
      <c r="O61" s="97">
        <f t="shared" ca="1" si="15"/>
        <v>0</v>
      </c>
      <c r="Q61" s="97">
        <f ca="1">MAX( _Saldo_Final _Anterior + _Saldo_Ciclico, 0)</f>
        <v>0</v>
      </c>
      <c r="S61" s="20">
        <f t="shared" ca="1" si="4"/>
        <v>0</v>
      </c>
      <c r="T61" s="20">
        <f t="shared" ca="1" si="5"/>
        <v>0</v>
      </c>
      <c r="U61" s="20">
        <f>Fechas!_Dias_Interes_Pago</f>
        <v>30</v>
      </c>
      <c r="V61" s="20">
        <f t="shared" ca="1" si="6"/>
        <v>0</v>
      </c>
      <c r="X61" s="97">
        <f t="shared" ca="1" si="7"/>
        <v>0</v>
      </c>
      <c r="Z61" s="97">
        <f t="shared" ca="1" si="8"/>
        <v>0</v>
      </c>
      <c r="AA61" s="97">
        <f t="shared" ca="1" si="9"/>
        <v>0</v>
      </c>
      <c r="AB61" s="97">
        <f ca="1">MAX( _Calculo_Capital _Actual, _Stopper_Capital _Actual )</f>
        <v>0</v>
      </c>
      <c r="AD61" s="97">
        <f t="shared" ca="1" si="10"/>
        <v>0</v>
      </c>
      <c r="AF61" s="97">
        <f ca="1">MAX(_Saldo_Inicial _Actual - _Capital _Actual, 0)</f>
        <v>0</v>
      </c>
      <c r="AH61" s="292">
        <f>Fechas!_Dias_Interes_CAT</f>
        <v>30</v>
      </c>
      <c r="AI61" s="97">
        <f t="shared" ca="1" si="11"/>
        <v>0</v>
      </c>
      <c r="AJ61" s="293">
        <f t="shared" ca="1" si="12"/>
        <v>0</v>
      </c>
      <c r="AK61" s="376"/>
      <c r="AL61" s="376"/>
      <c r="AM61" s="376"/>
      <c r="AN61" s="102"/>
      <c r="AO61" s="32"/>
      <c r="AP61" s="32"/>
      <c r="AV61" s="350"/>
      <c r="AW61" s="350"/>
      <c r="AX61" s="350"/>
      <c r="AY61" s="350"/>
      <c r="AZ61" s="350"/>
      <c r="BC61" s="350"/>
      <c r="BD61" s="350"/>
      <c r="BE61" s="350"/>
    </row>
    <row r="62" spans="2:57">
      <c r="B62" s="32"/>
      <c r="C62" s="32"/>
      <c r="J62" s="350">
        <v>43</v>
      </c>
      <c r="K62" s="350">
        <f t="shared" ca="1" si="13"/>
        <v>7</v>
      </c>
      <c r="L62" s="32">
        <f t="shared" ca="1" si="14"/>
        <v>4</v>
      </c>
      <c r="N62" s="20">
        <f t="shared" ca="1" si="2"/>
        <v>0</v>
      </c>
      <c r="O62" s="97">
        <f t="shared" ca="1" si="15"/>
        <v>0</v>
      </c>
      <c r="Q62" s="97">
        <f ca="1">MAX( _Saldo_Final _Anterior + _Saldo_Ciclico, 0)</f>
        <v>0</v>
      </c>
      <c r="S62" s="20">
        <f t="shared" ca="1" si="4"/>
        <v>0</v>
      </c>
      <c r="T62" s="20">
        <f t="shared" ca="1" si="5"/>
        <v>0</v>
      </c>
      <c r="U62" s="20">
        <f>Fechas!_Dias_Interes_Pago</f>
        <v>30</v>
      </c>
      <c r="V62" s="20">
        <f t="shared" ca="1" si="6"/>
        <v>0</v>
      </c>
      <c r="X62" s="97">
        <f t="shared" ca="1" si="7"/>
        <v>0</v>
      </c>
      <c r="Z62" s="97">
        <f t="shared" ca="1" si="8"/>
        <v>0</v>
      </c>
      <c r="AA62" s="97">
        <f t="shared" ca="1" si="9"/>
        <v>0</v>
      </c>
      <c r="AB62" s="97">
        <f ca="1">MAX( _Calculo_Capital _Actual, _Stopper_Capital _Actual )</f>
        <v>0</v>
      </c>
      <c r="AD62" s="97">
        <f t="shared" ca="1" si="10"/>
        <v>0</v>
      </c>
      <c r="AF62" s="97">
        <f ca="1">MAX(_Saldo_Inicial _Actual - _Capital _Actual, 0)</f>
        <v>0</v>
      </c>
      <c r="AH62" s="292">
        <f>Fechas!_Dias_Interes_CAT</f>
        <v>30</v>
      </c>
      <c r="AI62" s="97">
        <f t="shared" ca="1" si="11"/>
        <v>0</v>
      </c>
      <c r="AJ62" s="293">
        <f t="shared" ca="1" si="12"/>
        <v>0</v>
      </c>
      <c r="AK62" s="376"/>
      <c r="AL62" s="376"/>
      <c r="AM62" s="376"/>
      <c r="AN62" s="102"/>
      <c r="AO62" s="32"/>
      <c r="AP62" s="32"/>
      <c r="AV62" s="350"/>
      <c r="AW62" s="350"/>
      <c r="AX62" s="350"/>
      <c r="AY62" s="350"/>
      <c r="AZ62" s="350"/>
      <c r="BC62" s="350"/>
      <c r="BD62" s="350"/>
      <c r="BE62" s="350"/>
    </row>
    <row r="63" spans="2:57">
      <c r="B63" s="32"/>
      <c r="C63" s="32"/>
      <c r="J63" s="350">
        <v>44</v>
      </c>
      <c r="K63" s="350">
        <f t="shared" ca="1" si="13"/>
        <v>8</v>
      </c>
      <c r="L63" s="32">
        <f t="shared" ca="1" si="14"/>
        <v>4</v>
      </c>
      <c r="N63" s="20">
        <f t="shared" ca="1" si="2"/>
        <v>0</v>
      </c>
      <c r="O63" s="97">
        <f t="shared" ca="1" si="15"/>
        <v>0</v>
      </c>
      <c r="Q63" s="97">
        <f ca="1">MAX( _Saldo_Final _Anterior + _Saldo_Ciclico, 0)</f>
        <v>0</v>
      </c>
      <c r="S63" s="20">
        <f t="shared" ca="1" si="4"/>
        <v>0</v>
      </c>
      <c r="T63" s="20">
        <f t="shared" ca="1" si="5"/>
        <v>0</v>
      </c>
      <c r="U63" s="20">
        <f>Fechas!_Dias_Interes_Pago</f>
        <v>30</v>
      </c>
      <c r="V63" s="20">
        <f t="shared" ca="1" si="6"/>
        <v>0</v>
      </c>
      <c r="X63" s="97">
        <f t="shared" ca="1" si="7"/>
        <v>0</v>
      </c>
      <c r="Z63" s="97">
        <f t="shared" ca="1" si="8"/>
        <v>0</v>
      </c>
      <c r="AA63" s="97">
        <f t="shared" ca="1" si="9"/>
        <v>0</v>
      </c>
      <c r="AB63" s="97">
        <f ca="1">MAX( _Calculo_Capital _Actual, _Stopper_Capital _Actual )</f>
        <v>0</v>
      </c>
      <c r="AD63" s="97">
        <f t="shared" ca="1" si="10"/>
        <v>0</v>
      </c>
      <c r="AF63" s="97">
        <f ca="1">MAX(_Saldo_Inicial _Actual - _Capital _Actual, 0)</f>
        <v>0</v>
      </c>
      <c r="AH63" s="292">
        <f>Fechas!_Dias_Interes_CAT</f>
        <v>30</v>
      </c>
      <c r="AI63" s="97">
        <f t="shared" ca="1" si="11"/>
        <v>0</v>
      </c>
      <c r="AJ63" s="293">
        <f t="shared" ca="1" si="12"/>
        <v>0</v>
      </c>
      <c r="AK63" s="376"/>
      <c r="AL63" s="376"/>
      <c r="AM63" s="376"/>
      <c r="AN63" s="102"/>
      <c r="AO63" s="32"/>
      <c r="AP63" s="32"/>
      <c r="AV63" s="350"/>
      <c r="AW63" s="350"/>
      <c r="AX63" s="350"/>
      <c r="AY63" s="350"/>
      <c r="AZ63" s="350"/>
      <c r="BC63" s="350"/>
      <c r="BD63" s="350"/>
      <c r="BE63" s="350"/>
    </row>
    <row r="64" spans="2:57">
      <c r="B64" s="32"/>
      <c r="C64" s="32"/>
      <c r="J64" s="350">
        <v>45</v>
      </c>
      <c r="K64" s="350">
        <f t="shared" ca="1" si="13"/>
        <v>9</v>
      </c>
      <c r="L64" s="32">
        <f t="shared" ca="1" si="14"/>
        <v>4</v>
      </c>
      <c r="N64" s="20">
        <f t="shared" ca="1" si="2"/>
        <v>0</v>
      </c>
      <c r="O64" s="97">
        <f t="shared" ca="1" si="15"/>
        <v>0</v>
      </c>
      <c r="Q64" s="97">
        <f ca="1">MAX( _Saldo_Final _Anterior + _Saldo_Ciclico, 0)</f>
        <v>0</v>
      </c>
      <c r="S64" s="20">
        <f t="shared" ca="1" si="4"/>
        <v>0</v>
      </c>
      <c r="T64" s="20">
        <f t="shared" ca="1" si="5"/>
        <v>0</v>
      </c>
      <c r="U64" s="20">
        <f>Fechas!_Dias_Interes_Pago</f>
        <v>30</v>
      </c>
      <c r="V64" s="20">
        <f t="shared" ca="1" si="6"/>
        <v>0</v>
      </c>
      <c r="X64" s="97">
        <f t="shared" ca="1" si="7"/>
        <v>0</v>
      </c>
      <c r="Z64" s="97">
        <f t="shared" ca="1" si="8"/>
        <v>0</v>
      </c>
      <c r="AA64" s="97">
        <f t="shared" ca="1" si="9"/>
        <v>0</v>
      </c>
      <c r="AB64" s="97">
        <f ca="1">MAX( _Calculo_Capital _Actual, _Stopper_Capital _Actual )</f>
        <v>0</v>
      </c>
      <c r="AD64" s="97">
        <f t="shared" ca="1" si="10"/>
        <v>0</v>
      </c>
      <c r="AF64" s="97">
        <f ca="1">MAX(_Saldo_Inicial _Actual - _Capital _Actual, 0)</f>
        <v>0</v>
      </c>
      <c r="AH64" s="292">
        <f>Fechas!_Dias_Interes_CAT</f>
        <v>30</v>
      </c>
      <c r="AI64" s="97">
        <f t="shared" ca="1" si="11"/>
        <v>0</v>
      </c>
      <c r="AJ64" s="293">
        <f t="shared" ca="1" si="12"/>
        <v>0</v>
      </c>
      <c r="AK64" s="376"/>
      <c r="AL64" s="376"/>
      <c r="AM64" s="376"/>
      <c r="AN64" s="102"/>
      <c r="AO64" s="32"/>
      <c r="AP64" s="32"/>
      <c r="AV64" s="350"/>
      <c r="AW64" s="350"/>
      <c r="AX64" s="350"/>
      <c r="AY64" s="350"/>
      <c r="AZ64" s="350"/>
      <c r="BC64" s="350"/>
      <c r="BD64" s="350"/>
      <c r="BE64" s="350"/>
    </row>
    <row r="65" spans="2:57">
      <c r="B65" s="32"/>
      <c r="C65" s="32"/>
      <c r="J65" s="350">
        <v>46</v>
      </c>
      <c r="K65" s="350">
        <f t="shared" ca="1" si="13"/>
        <v>10</v>
      </c>
      <c r="L65" s="32">
        <f t="shared" ca="1" si="14"/>
        <v>4</v>
      </c>
      <c r="N65" s="20">
        <f t="shared" ca="1" si="2"/>
        <v>0</v>
      </c>
      <c r="O65" s="97">
        <f t="shared" ca="1" si="15"/>
        <v>0</v>
      </c>
      <c r="Q65" s="97">
        <f ca="1">MAX( _Saldo_Final _Anterior + _Saldo_Ciclico, 0)</f>
        <v>0</v>
      </c>
      <c r="S65" s="20">
        <f t="shared" ca="1" si="4"/>
        <v>0</v>
      </c>
      <c r="T65" s="20">
        <f t="shared" ca="1" si="5"/>
        <v>0</v>
      </c>
      <c r="U65" s="20">
        <f>Fechas!_Dias_Interes_Pago</f>
        <v>30</v>
      </c>
      <c r="V65" s="20">
        <f t="shared" ca="1" si="6"/>
        <v>0</v>
      </c>
      <c r="X65" s="97">
        <f t="shared" ca="1" si="7"/>
        <v>0</v>
      </c>
      <c r="Z65" s="97">
        <f t="shared" ca="1" si="8"/>
        <v>0</v>
      </c>
      <c r="AA65" s="97">
        <f t="shared" ca="1" si="9"/>
        <v>0</v>
      </c>
      <c r="AB65" s="97">
        <f ca="1">MAX( _Calculo_Capital _Actual, _Stopper_Capital _Actual )</f>
        <v>0</v>
      </c>
      <c r="AD65" s="97">
        <f t="shared" ca="1" si="10"/>
        <v>0</v>
      </c>
      <c r="AF65" s="97">
        <f ca="1">MAX(_Saldo_Inicial _Actual - _Capital _Actual, 0)</f>
        <v>0</v>
      </c>
      <c r="AH65" s="292">
        <f>Fechas!_Dias_Interes_CAT</f>
        <v>30</v>
      </c>
      <c r="AI65" s="97">
        <f t="shared" ca="1" si="11"/>
        <v>0</v>
      </c>
      <c r="AJ65" s="293">
        <f t="shared" ca="1" si="12"/>
        <v>0</v>
      </c>
      <c r="AK65" s="376"/>
      <c r="AL65" s="376"/>
      <c r="AM65" s="376"/>
      <c r="AN65" s="102"/>
      <c r="AO65" s="32"/>
      <c r="AP65" s="32"/>
      <c r="AV65" s="350"/>
      <c r="AW65" s="350"/>
      <c r="AX65" s="350"/>
      <c r="AY65" s="350"/>
      <c r="AZ65" s="350"/>
      <c r="BC65" s="350"/>
      <c r="BD65" s="350"/>
      <c r="BE65" s="350"/>
    </row>
    <row r="66" spans="2:57">
      <c r="B66" s="32"/>
      <c r="C66" s="32"/>
      <c r="J66" s="350">
        <v>47</v>
      </c>
      <c r="K66" s="350">
        <f t="shared" ca="1" si="13"/>
        <v>11</v>
      </c>
      <c r="L66" s="32">
        <f t="shared" ca="1" si="14"/>
        <v>4</v>
      </c>
      <c r="N66" s="20">
        <f t="shared" ca="1" si="2"/>
        <v>0</v>
      </c>
      <c r="O66" s="97">
        <f t="shared" ca="1" si="15"/>
        <v>0</v>
      </c>
      <c r="Q66" s="97">
        <f ca="1">MAX( _Saldo_Final _Anterior + _Saldo_Ciclico, 0)</f>
        <v>0</v>
      </c>
      <c r="S66" s="20">
        <f t="shared" ca="1" si="4"/>
        <v>0</v>
      </c>
      <c r="T66" s="20">
        <f t="shared" ca="1" si="5"/>
        <v>0</v>
      </c>
      <c r="U66" s="20">
        <f>Fechas!_Dias_Interes_Pago</f>
        <v>30</v>
      </c>
      <c r="V66" s="20">
        <f t="shared" ca="1" si="6"/>
        <v>0</v>
      </c>
      <c r="X66" s="97">
        <f t="shared" ca="1" si="7"/>
        <v>0</v>
      </c>
      <c r="Z66" s="97">
        <f t="shared" ca="1" si="8"/>
        <v>0</v>
      </c>
      <c r="AA66" s="97">
        <f t="shared" ca="1" si="9"/>
        <v>0</v>
      </c>
      <c r="AB66" s="97">
        <f ca="1">MAX( _Calculo_Capital _Actual, _Stopper_Capital _Actual )</f>
        <v>0</v>
      </c>
      <c r="AD66" s="97">
        <f t="shared" ca="1" si="10"/>
        <v>0</v>
      </c>
      <c r="AF66" s="97">
        <f ca="1">MAX(_Saldo_Inicial _Actual - _Capital _Actual, 0)</f>
        <v>0</v>
      </c>
      <c r="AH66" s="292">
        <f>Fechas!_Dias_Interes_CAT</f>
        <v>30</v>
      </c>
      <c r="AI66" s="97">
        <f t="shared" ca="1" si="11"/>
        <v>0</v>
      </c>
      <c r="AJ66" s="293">
        <f t="shared" ca="1" si="12"/>
        <v>0</v>
      </c>
      <c r="AK66" s="376"/>
      <c r="AL66" s="376"/>
      <c r="AM66" s="376"/>
      <c r="AN66" s="102"/>
      <c r="AO66" s="32"/>
      <c r="AP66" s="32"/>
      <c r="AV66" s="350"/>
      <c r="AW66" s="350"/>
      <c r="AX66" s="350"/>
      <c r="AY66" s="350"/>
      <c r="AZ66" s="350"/>
      <c r="BC66" s="350"/>
      <c r="BD66" s="350"/>
      <c r="BE66" s="350"/>
    </row>
    <row r="67" spans="2:57">
      <c r="B67" s="32"/>
      <c r="C67" s="32"/>
      <c r="J67" s="350">
        <v>48</v>
      </c>
      <c r="K67" s="350">
        <f t="shared" ca="1" si="13"/>
        <v>12</v>
      </c>
      <c r="L67" s="32">
        <f t="shared" ca="1" si="14"/>
        <v>4</v>
      </c>
      <c r="N67" s="20">
        <f t="shared" ca="1" si="2"/>
        <v>0</v>
      </c>
      <c r="O67" s="97">
        <f t="shared" ca="1" si="15"/>
        <v>0</v>
      </c>
      <c r="Q67" s="97">
        <f ca="1">MAX( _Saldo_Final _Anterior + _Saldo_Ciclico, 0)</f>
        <v>0</v>
      </c>
      <c r="S67" s="20">
        <f t="shared" ca="1" si="4"/>
        <v>0</v>
      </c>
      <c r="T67" s="20">
        <f t="shared" ca="1" si="5"/>
        <v>0</v>
      </c>
      <c r="U67" s="20">
        <f>Fechas!_Dias_Interes_Pago</f>
        <v>30</v>
      </c>
      <c r="V67" s="20">
        <f t="shared" ca="1" si="6"/>
        <v>0</v>
      </c>
      <c r="X67" s="97">
        <f t="shared" ca="1" si="7"/>
        <v>0</v>
      </c>
      <c r="Z67" s="97">
        <f t="shared" ca="1" si="8"/>
        <v>0</v>
      </c>
      <c r="AA67" s="97">
        <f t="shared" ca="1" si="9"/>
        <v>0</v>
      </c>
      <c r="AB67" s="97">
        <f ca="1">MAX( _Calculo_Capital _Actual, _Stopper_Capital _Actual )</f>
        <v>0</v>
      </c>
      <c r="AD67" s="97">
        <f t="shared" ca="1" si="10"/>
        <v>0</v>
      </c>
      <c r="AF67" s="97">
        <f ca="1">MAX(_Saldo_Inicial _Actual - _Capital _Actual, 0)</f>
        <v>0</v>
      </c>
      <c r="AH67" s="292">
        <f>Fechas!_Dias_Interes_CAT</f>
        <v>30</v>
      </c>
      <c r="AI67" s="97">
        <f t="shared" ca="1" si="11"/>
        <v>0</v>
      </c>
      <c r="AJ67" s="293">
        <f t="shared" ca="1" si="12"/>
        <v>0</v>
      </c>
      <c r="AK67" s="376"/>
      <c r="AL67" s="376"/>
      <c r="AM67" s="376"/>
      <c r="AN67" s="102"/>
      <c r="AO67" s="32"/>
      <c r="AP67" s="32"/>
      <c r="AV67" s="350"/>
      <c r="AW67" s="350"/>
      <c r="AX67" s="350"/>
      <c r="AY67" s="350"/>
      <c r="AZ67" s="350"/>
      <c r="BC67" s="350"/>
      <c r="BD67" s="350"/>
      <c r="BE67" s="350"/>
    </row>
    <row r="68" spans="2:57">
      <c r="B68" s="32"/>
      <c r="C68" s="32"/>
      <c r="J68" s="350">
        <v>49</v>
      </c>
      <c r="K68" s="350">
        <f t="shared" ca="1" si="13"/>
        <v>1</v>
      </c>
      <c r="L68" s="32">
        <f t="shared" ca="1" si="14"/>
        <v>5</v>
      </c>
      <c r="N68" s="20">
        <f t="shared" ca="1" si="2"/>
        <v>0</v>
      </c>
      <c r="O68" s="97">
        <f t="shared" ca="1" si="15"/>
        <v>0</v>
      </c>
      <c r="Q68" s="97">
        <f ca="1">MAX( _Saldo_Final _Anterior + _Saldo_Ciclico, 0)</f>
        <v>0</v>
      </c>
      <c r="S68" s="20">
        <f t="shared" ca="1" si="4"/>
        <v>0</v>
      </c>
      <c r="T68" s="20">
        <f t="shared" ca="1" si="5"/>
        <v>0</v>
      </c>
      <c r="U68" s="20">
        <f>Fechas!_Dias_Interes_Pago</f>
        <v>30</v>
      </c>
      <c r="V68" s="20">
        <f t="shared" ca="1" si="6"/>
        <v>0</v>
      </c>
      <c r="X68" s="97">
        <f t="shared" ca="1" si="7"/>
        <v>0</v>
      </c>
      <c r="Z68" s="97">
        <f t="shared" ca="1" si="8"/>
        <v>0</v>
      </c>
      <c r="AA68" s="97">
        <f t="shared" ca="1" si="9"/>
        <v>0</v>
      </c>
      <c r="AB68" s="97">
        <f ca="1">MAX( _Calculo_Capital _Actual, _Stopper_Capital _Actual )</f>
        <v>0</v>
      </c>
      <c r="AD68" s="97">
        <f t="shared" ca="1" si="10"/>
        <v>0</v>
      </c>
      <c r="AF68" s="97">
        <f ca="1">MAX(_Saldo_Inicial _Actual - _Capital _Actual, 0)</f>
        <v>0</v>
      </c>
      <c r="AH68" s="292">
        <f>Fechas!_Dias_Interes_CAT</f>
        <v>30</v>
      </c>
      <c r="AI68" s="97">
        <f t="shared" ca="1" si="11"/>
        <v>0</v>
      </c>
      <c r="AJ68" s="293">
        <f t="shared" ca="1" si="12"/>
        <v>0</v>
      </c>
      <c r="AK68" s="376"/>
      <c r="AL68" s="376"/>
      <c r="AM68" s="376"/>
      <c r="AN68" s="102"/>
      <c r="AO68" s="32"/>
      <c r="AP68" s="32"/>
      <c r="AV68" s="350"/>
      <c r="AW68" s="350"/>
      <c r="AX68" s="350"/>
      <c r="AY68" s="350"/>
      <c r="AZ68" s="350"/>
      <c r="BC68" s="350"/>
      <c r="BD68" s="350"/>
      <c r="BE68" s="350"/>
    </row>
    <row r="69" spans="2:57">
      <c r="B69" s="32"/>
      <c r="C69" s="32"/>
      <c r="J69" s="350">
        <v>50</v>
      </c>
      <c r="K69" s="350">
        <f t="shared" ca="1" si="13"/>
        <v>2</v>
      </c>
      <c r="L69" s="32">
        <f t="shared" ca="1" si="14"/>
        <v>5</v>
      </c>
      <c r="N69" s="20">
        <f t="shared" ca="1" si="2"/>
        <v>0</v>
      </c>
      <c r="O69" s="97">
        <f t="shared" ca="1" si="15"/>
        <v>0</v>
      </c>
      <c r="Q69" s="97">
        <f ca="1">MAX( _Saldo_Final _Anterior + _Saldo_Ciclico, 0)</f>
        <v>0</v>
      </c>
      <c r="S69" s="20">
        <f t="shared" ca="1" si="4"/>
        <v>0</v>
      </c>
      <c r="T69" s="20">
        <f t="shared" ca="1" si="5"/>
        <v>0</v>
      </c>
      <c r="U69" s="20">
        <f>Fechas!_Dias_Interes_Pago</f>
        <v>30</v>
      </c>
      <c r="V69" s="20">
        <f t="shared" ca="1" si="6"/>
        <v>0</v>
      </c>
      <c r="X69" s="97">
        <f t="shared" ca="1" si="7"/>
        <v>0</v>
      </c>
      <c r="Z69" s="97">
        <f t="shared" ca="1" si="8"/>
        <v>0</v>
      </c>
      <c r="AA69" s="97">
        <f t="shared" ca="1" si="9"/>
        <v>0</v>
      </c>
      <c r="AB69" s="97">
        <f ca="1">MAX( _Calculo_Capital _Actual, _Stopper_Capital _Actual )</f>
        <v>0</v>
      </c>
      <c r="AD69" s="97">
        <f t="shared" ca="1" si="10"/>
        <v>0</v>
      </c>
      <c r="AF69" s="97">
        <f ca="1">MAX(_Saldo_Inicial _Actual - _Capital _Actual, 0)</f>
        <v>0</v>
      </c>
      <c r="AH69" s="292">
        <f>Fechas!_Dias_Interes_CAT</f>
        <v>30</v>
      </c>
      <c r="AI69" s="97">
        <f t="shared" ca="1" si="11"/>
        <v>0</v>
      </c>
      <c r="AJ69" s="293">
        <f t="shared" ca="1" si="12"/>
        <v>0</v>
      </c>
      <c r="AK69" s="376"/>
      <c r="AL69" s="376"/>
      <c r="AM69" s="376"/>
      <c r="AN69" s="102"/>
      <c r="AO69" s="32"/>
      <c r="AP69" s="32"/>
      <c r="AV69" s="350"/>
      <c r="AW69" s="350"/>
      <c r="AX69" s="350"/>
      <c r="AY69" s="350"/>
      <c r="AZ69" s="350"/>
      <c r="BC69" s="350"/>
      <c r="BD69" s="350"/>
      <c r="BE69" s="350"/>
    </row>
    <row r="70" spans="2:57">
      <c r="B70" s="32"/>
      <c r="C70" s="32"/>
      <c r="J70" s="350">
        <v>51</v>
      </c>
      <c r="K70" s="350">
        <f t="shared" ca="1" si="13"/>
        <v>3</v>
      </c>
      <c r="L70" s="32">
        <f t="shared" ca="1" si="14"/>
        <v>5</v>
      </c>
      <c r="N70" s="20">
        <f t="shared" ca="1" si="2"/>
        <v>0</v>
      </c>
      <c r="O70" s="97">
        <f t="shared" ca="1" si="15"/>
        <v>0</v>
      </c>
      <c r="Q70" s="97">
        <f ca="1">MAX( _Saldo_Final _Anterior + _Saldo_Ciclico, 0)</f>
        <v>0</v>
      </c>
      <c r="S70" s="20">
        <f t="shared" ca="1" si="4"/>
        <v>0</v>
      </c>
      <c r="T70" s="20">
        <f t="shared" ca="1" si="5"/>
        <v>0</v>
      </c>
      <c r="U70" s="20">
        <f>Fechas!_Dias_Interes_Pago</f>
        <v>30</v>
      </c>
      <c r="V70" s="20">
        <f t="shared" ca="1" si="6"/>
        <v>0</v>
      </c>
      <c r="X70" s="97">
        <f t="shared" ca="1" si="7"/>
        <v>0</v>
      </c>
      <c r="Z70" s="97">
        <f t="shared" ca="1" si="8"/>
        <v>0</v>
      </c>
      <c r="AA70" s="97">
        <f t="shared" ca="1" si="9"/>
        <v>0</v>
      </c>
      <c r="AB70" s="97">
        <f ca="1">MAX( _Calculo_Capital _Actual, _Stopper_Capital _Actual )</f>
        <v>0</v>
      </c>
      <c r="AD70" s="97">
        <f t="shared" ca="1" si="10"/>
        <v>0</v>
      </c>
      <c r="AF70" s="97">
        <f ca="1">MAX(_Saldo_Inicial _Actual - _Capital _Actual, 0)</f>
        <v>0</v>
      </c>
      <c r="AH70" s="292">
        <f>Fechas!_Dias_Interes_CAT</f>
        <v>30</v>
      </c>
      <c r="AI70" s="97">
        <f t="shared" ca="1" si="11"/>
        <v>0</v>
      </c>
      <c r="AJ70" s="293">
        <f t="shared" ca="1" si="12"/>
        <v>0</v>
      </c>
      <c r="AK70" s="376"/>
      <c r="AL70" s="376"/>
      <c r="AM70" s="376"/>
      <c r="AN70" s="102"/>
      <c r="AO70" s="32"/>
      <c r="AP70" s="32"/>
      <c r="AV70" s="350"/>
      <c r="AW70" s="350"/>
      <c r="AX70" s="350"/>
      <c r="AY70" s="350"/>
      <c r="AZ70" s="350"/>
      <c r="BC70" s="350"/>
      <c r="BD70" s="350"/>
      <c r="BE70" s="350"/>
    </row>
    <row r="71" spans="2:57">
      <c r="B71" s="32"/>
      <c r="C71" s="32"/>
      <c r="J71" s="350">
        <v>52</v>
      </c>
      <c r="K71" s="350">
        <f t="shared" ca="1" si="13"/>
        <v>4</v>
      </c>
      <c r="L71" s="32">
        <f t="shared" ca="1" si="14"/>
        <v>5</v>
      </c>
      <c r="N71" s="20">
        <f t="shared" ca="1" si="2"/>
        <v>0</v>
      </c>
      <c r="O71" s="97">
        <f t="shared" ca="1" si="15"/>
        <v>0</v>
      </c>
      <c r="Q71" s="97">
        <f ca="1">MAX( _Saldo_Final _Anterior + _Saldo_Ciclico, 0)</f>
        <v>0</v>
      </c>
      <c r="S71" s="20">
        <f t="shared" ca="1" si="4"/>
        <v>0</v>
      </c>
      <c r="T71" s="20">
        <f t="shared" ca="1" si="5"/>
        <v>0</v>
      </c>
      <c r="U71" s="20">
        <f>Fechas!_Dias_Interes_Pago</f>
        <v>30</v>
      </c>
      <c r="V71" s="20">
        <f t="shared" ca="1" si="6"/>
        <v>0</v>
      </c>
      <c r="X71" s="97">
        <f t="shared" ca="1" si="7"/>
        <v>0</v>
      </c>
      <c r="Z71" s="97">
        <f t="shared" ca="1" si="8"/>
        <v>0</v>
      </c>
      <c r="AA71" s="97">
        <f t="shared" ca="1" si="9"/>
        <v>0</v>
      </c>
      <c r="AB71" s="97">
        <f ca="1">MAX( _Calculo_Capital _Actual, _Stopper_Capital _Actual )</f>
        <v>0</v>
      </c>
      <c r="AD71" s="97">
        <f t="shared" ca="1" si="10"/>
        <v>0</v>
      </c>
      <c r="AF71" s="97">
        <f ca="1">MAX(_Saldo_Inicial _Actual - _Capital _Actual, 0)</f>
        <v>0</v>
      </c>
      <c r="AH71" s="292">
        <f>Fechas!_Dias_Interes_CAT</f>
        <v>30</v>
      </c>
      <c r="AI71" s="97">
        <f t="shared" ca="1" si="11"/>
        <v>0</v>
      </c>
      <c r="AJ71" s="293">
        <f t="shared" ca="1" si="12"/>
        <v>0</v>
      </c>
      <c r="AK71" s="376"/>
      <c r="AL71" s="376"/>
      <c r="AM71" s="376"/>
      <c r="AN71" s="102"/>
      <c r="AO71" s="32"/>
      <c r="AP71" s="32"/>
      <c r="AV71" s="350"/>
      <c r="AW71" s="350"/>
      <c r="AX71" s="350"/>
      <c r="AY71" s="350"/>
      <c r="AZ71" s="350"/>
      <c r="BC71" s="350"/>
      <c r="BD71" s="350"/>
      <c r="BE71" s="350"/>
    </row>
    <row r="72" spans="2:57">
      <c r="B72" s="32"/>
      <c r="C72" s="32"/>
      <c r="J72" s="350">
        <v>53</v>
      </c>
      <c r="K72" s="350">
        <f t="shared" ca="1" si="13"/>
        <v>5</v>
      </c>
      <c r="L72" s="32">
        <f t="shared" ca="1" si="14"/>
        <v>5</v>
      </c>
      <c r="N72" s="20">
        <f t="shared" ca="1" si="2"/>
        <v>0</v>
      </c>
      <c r="O72" s="97">
        <f t="shared" ca="1" si="15"/>
        <v>0</v>
      </c>
      <c r="Q72" s="97">
        <f ca="1">MAX( _Saldo_Final _Anterior + _Saldo_Ciclico, 0)</f>
        <v>0</v>
      </c>
      <c r="S72" s="20">
        <f t="shared" ca="1" si="4"/>
        <v>0</v>
      </c>
      <c r="T72" s="20">
        <f t="shared" ca="1" si="5"/>
        <v>0</v>
      </c>
      <c r="U72" s="20">
        <f>Fechas!_Dias_Interes_Pago</f>
        <v>30</v>
      </c>
      <c r="V72" s="20">
        <f t="shared" ca="1" si="6"/>
        <v>0</v>
      </c>
      <c r="X72" s="97">
        <f t="shared" ca="1" si="7"/>
        <v>0</v>
      </c>
      <c r="Z72" s="97">
        <f t="shared" ca="1" si="8"/>
        <v>0</v>
      </c>
      <c r="AA72" s="97">
        <f t="shared" ca="1" si="9"/>
        <v>0</v>
      </c>
      <c r="AB72" s="97">
        <f ca="1">MAX( _Calculo_Capital _Actual, _Stopper_Capital _Actual )</f>
        <v>0</v>
      </c>
      <c r="AD72" s="97">
        <f t="shared" ca="1" si="10"/>
        <v>0</v>
      </c>
      <c r="AF72" s="97">
        <f ca="1">MAX(_Saldo_Inicial _Actual - _Capital _Actual, 0)</f>
        <v>0</v>
      </c>
      <c r="AH72" s="292">
        <f>Fechas!_Dias_Interes_CAT</f>
        <v>30</v>
      </c>
      <c r="AI72" s="97">
        <f t="shared" ca="1" si="11"/>
        <v>0</v>
      </c>
      <c r="AJ72" s="293">
        <f t="shared" ca="1" si="12"/>
        <v>0</v>
      </c>
      <c r="AK72" s="376"/>
      <c r="AL72" s="376"/>
      <c r="AM72" s="376"/>
      <c r="AN72" s="102"/>
      <c r="AO72" s="32"/>
      <c r="AP72" s="32"/>
      <c r="AV72" s="350"/>
      <c r="AW72" s="350"/>
      <c r="AX72" s="350"/>
      <c r="AY72" s="350"/>
      <c r="AZ72" s="350"/>
      <c r="BC72" s="350"/>
      <c r="BD72" s="350"/>
      <c r="BE72" s="350"/>
    </row>
    <row r="73" spans="2:57">
      <c r="B73" s="32"/>
      <c r="C73" s="32"/>
      <c r="J73" s="350">
        <v>54</v>
      </c>
      <c r="K73" s="350">
        <f t="shared" ca="1" si="13"/>
        <v>6</v>
      </c>
      <c r="L73" s="32">
        <f t="shared" ca="1" si="14"/>
        <v>5</v>
      </c>
      <c r="N73" s="20">
        <f t="shared" ca="1" si="2"/>
        <v>0</v>
      </c>
      <c r="O73" s="97">
        <f t="shared" ca="1" si="15"/>
        <v>0</v>
      </c>
      <c r="Q73" s="97">
        <f ca="1">MAX( _Saldo_Final _Anterior + _Saldo_Ciclico, 0)</f>
        <v>0</v>
      </c>
      <c r="S73" s="20">
        <f t="shared" ca="1" si="4"/>
        <v>0</v>
      </c>
      <c r="T73" s="20">
        <f t="shared" ca="1" si="5"/>
        <v>0</v>
      </c>
      <c r="U73" s="20">
        <f>Fechas!_Dias_Interes_Pago</f>
        <v>30</v>
      </c>
      <c r="V73" s="20">
        <f t="shared" ca="1" si="6"/>
        <v>0</v>
      </c>
      <c r="X73" s="97">
        <f t="shared" ca="1" si="7"/>
        <v>0</v>
      </c>
      <c r="Z73" s="97">
        <f t="shared" ca="1" si="8"/>
        <v>0</v>
      </c>
      <c r="AA73" s="97">
        <f t="shared" ca="1" si="9"/>
        <v>0</v>
      </c>
      <c r="AB73" s="97">
        <f ca="1">MAX( _Calculo_Capital _Actual, _Stopper_Capital _Actual )</f>
        <v>0</v>
      </c>
      <c r="AD73" s="97">
        <f t="shared" ca="1" si="10"/>
        <v>0</v>
      </c>
      <c r="AF73" s="97">
        <f ca="1">MAX(_Saldo_Inicial _Actual - _Capital _Actual, 0)</f>
        <v>0</v>
      </c>
      <c r="AH73" s="292">
        <f>Fechas!_Dias_Interes_CAT</f>
        <v>30</v>
      </c>
      <c r="AI73" s="97">
        <f t="shared" ca="1" si="11"/>
        <v>0</v>
      </c>
      <c r="AJ73" s="293">
        <f t="shared" ca="1" si="12"/>
        <v>0</v>
      </c>
      <c r="AK73" s="376"/>
      <c r="AL73" s="376"/>
      <c r="AM73" s="376"/>
      <c r="AN73" s="102"/>
      <c r="AO73" s="32"/>
      <c r="AP73" s="32"/>
      <c r="AV73" s="350"/>
      <c r="AW73" s="350"/>
      <c r="AX73" s="350"/>
      <c r="AY73" s="350"/>
      <c r="AZ73" s="350"/>
      <c r="BC73" s="350"/>
      <c r="BD73" s="350"/>
      <c r="BE73" s="350"/>
    </row>
    <row r="74" spans="2:57">
      <c r="B74" s="32"/>
      <c r="C74" s="32"/>
      <c r="J74" s="350">
        <v>55</v>
      </c>
      <c r="K74" s="350">
        <f t="shared" ca="1" si="13"/>
        <v>7</v>
      </c>
      <c r="L74" s="32">
        <f t="shared" ca="1" si="14"/>
        <v>5</v>
      </c>
      <c r="N74" s="20">
        <f t="shared" ca="1" si="2"/>
        <v>0</v>
      </c>
      <c r="O74" s="97">
        <f t="shared" ca="1" si="15"/>
        <v>0</v>
      </c>
      <c r="Q74" s="97">
        <f ca="1">MAX( _Saldo_Final _Anterior + _Saldo_Ciclico, 0)</f>
        <v>0</v>
      </c>
      <c r="S74" s="20">
        <f t="shared" ca="1" si="4"/>
        <v>0</v>
      </c>
      <c r="T74" s="20">
        <f t="shared" ca="1" si="5"/>
        <v>0</v>
      </c>
      <c r="U74" s="20">
        <f>Fechas!_Dias_Interes_Pago</f>
        <v>30</v>
      </c>
      <c r="V74" s="20">
        <f t="shared" ca="1" si="6"/>
        <v>0</v>
      </c>
      <c r="X74" s="97">
        <f t="shared" ca="1" si="7"/>
        <v>0</v>
      </c>
      <c r="Z74" s="97">
        <f t="shared" ca="1" si="8"/>
        <v>0</v>
      </c>
      <c r="AA74" s="97">
        <f t="shared" ca="1" si="9"/>
        <v>0</v>
      </c>
      <c r="AB74" s="97">
        <f ca="1">MAX( _Calculo_Capital _Actual, _Stopper_Capital _Actual )</f>
        <v>0</v>
      </c>
      <c r="AD74" s="97">
        <f t="shared" ca="1" si="10"/>
        <v>0</v>
      </c>
      <c r="AF74" s="97">
        <f ca="1">MAX(_Saldo_Inicial _Actual - _Capital _Actual, 0)</f>
        <v>0</v>
      </c>
      <c r="AH74" s="292">
        <f>Fechas!_Dias_Interes_CAT</f>
        <v>30</v>
      </c>
      <c r="AI74" s="97">
        <f t="shared" ca="1" si="11"/>
        <v>0</v>
      </c>
      <c r="AJ74" s="293">
        <f t="shared" ca="1" si="12"/>
        <v>0</v>
      </c>
      <c r="AK74" s="376"/>
      <c r="AL74" s="376"/>
      <c r="AM74" s="376"/>
      <c r="AN74" s="102"/>
      <c r="AO74" s="32"/>
      <c r="AP74" s="32"/>
      <c r="AV74" s="350"/>
      <c r="AW74" s="350"/>
      <c r="AX74" s="350"/>
      <c r="AY74" s="350"/>
      <c r="AZ74" s="350"/>
      <c r="BC74" s="350"/>
      <c r="BD74" s="350"/>
      <c r="BE74" s="350"/>
    </row>
    <row r="75" spans="2:57">
      <c r="B75" s="32"/>
      <c r="C75" s="32"/>
      <c r="J75" s="350">
        <v>56</v>
      </c>
      <c r="K75" s="350">
        <f t="shared" ca="1" si="13"/>
        <v>8</v>
      </c>
      <c r="L75" s="32">
        <f t="shared" ca="1" si="14"/>
        <v>5</v>
      </c>
      <c r="N75" s="20">
        <f t="shared" ca="1" si="2"/>
        <v>0</v>
      </c>
      <c r="O75" s="97">
        <f t="shared" ca="1" si="15"/>
        <v>0</v>
      </c>
      <c r="Q75" s="97">
        <f ca="1">MAX( _Saldo_Final _Anterior + _Saldo_Ciclico, 0)</f>
        <v>0</v>
      </c>
      <c r="S75" s="20">
        <f t="shared" ca="1" si="4"/>
        <v>0</v>
      </c>
      <c r="T75" s="20">
        <f t="shared" ca="1" si="5"/>
        <v>0</v>
      </c>
      <c r="U75" s="20">
        <f>Fechas!_Dias_Interes_Pago</f>
        <v>30</v>
      </c>
      <c r="V75" s="20">
        <f t="shared" ca="1" si="6"/>
        <v>0</v>
      </c>
      <c r="X75" s="97">
        <f t="shared" ca="1" si="7"/>
        <v>0</v>
      </c>
      <c r="Z75" s="97">
        <f t="shared" ca="1" si="8"/>
        <v>0</v>
      </c>
      <c r="AA75" s="97">
        <f t="shared" ca="1" si="9"/>
        <v>0</v>
      </c>
      <c r="AB75" s="97">
        <f ca="1">MAX( _Calculo_Capital _Actual, _Stopper_Capital _Actual )</f>
        <v>0</v>
      </c>
      <c r="AD75" s="97">
        <f t="shared" ca="1" si="10"/>
        <v>0</v>
      </c>
      <c r="AF75" s="97">
        <f ca="1">MAX(_Saldo_Inicial _Actual - _Capital _Actual, 0)</f>
        <v>0</v>
      </c>
      <c r="AH75" s="292">
        <f>Fechas!_Dias_Interes_CAT</f>
        <v>30</v>
      </c>
      <c r="AI75" s="97">
        <f t="shared" ca="1" si="11"/>
        <v>0</v>
      </c>
      <c r="AJ75" s="293">
        <f t="shared" ca="1" si="12"/>
        <v>0</v>
      </c>
      <c r="AK75" s="376"/>
      <c r="AL75" s="376"/>
      <c r="AM75" s="376"/>
      <c r="AN75" s="102"/>
      <c r="AO75" s="32"/>
      <c r="AP75" s="32"/>
      <c r="AV75" s="350"/>
      <c r="AW75" s="350"/>
      <c r="AX75" s="350"/>
      <c r="AY75" s="350"/>
      <c r="AZ75" s="350"/>
      <c r="BC75" s="350"/>
      <c r="BD75" s="350"/>
      <c r="BE75" s="350"/>
    </row>
    <row r="76" spans="2:57">
      <c r="B76" s="32"/>
      <c r="C76" s="32"/>
      <c r="J76" s="350">
        <v>57</v>
      </c>
      <c r="K76" s="350">
        <f t="shared" ca="1" si="13"/>
        <v>9</v>
      </c>
      <c r="L76" s="32">
        <f t="shared" ca="1" si="14"/>
        <v>5</v>
      </c>
      <c r="N76" s="20">
        <f t="shared" ca="1" si="2"/>
        <v>0</v>
      </c>
      <c r="O76" s="97">
        <f t="shared" ca="1" si="15"/>
        <v>0</v>
      </c>
      <c r="Q76" s="97">
        <f ca="1">MAX( _Saldo_Final _Anterior + _Saldo_Ciclico, 0)</f>
        <v>0</v>
      </c>
      <c r="S76" s="20">
        <f t="shared" ca="1" si="4"/>
        <v>0</v>
      </c>
      <c r="T76" s="20">
        <f t="shared" ca="1" si="5"/>
        <v>0</v>
      </c>
      <c r="U76" s="20">
        <f>Fechas!_Dias_Interes_Pago</f>
        <v>30</v>
      </c>
      <c r="V76" s="20">
        <f t="shared" ca="1" si="6"/>
        <v>0</v>
      </c>
      <c r="X76" s="97">
        <f t="shared" ca="1" si="7"/>
        <v>0</v>
      </c>
      <c r="Z76" s="97">
        <f t="shared" ca="1" si="8"/>
        <v>0</v>
      </c>
      <c r="AA76" s="97">
        <f t="shared" ca="1" si="9"/>
        <v>0</v>
      </c>
      <c r="AB76" s="97">
        <f ca="1">MAX( _Calculo_Capital _Actual, _Stopper_Capital _Actual )</f>
        <v>0</v>
      </c>
      <c r="AD76" s="97">
        <f t="shared" ca="1" si="10"/>
        <v>0</v>
      </c>
      <c r="AF76" s="97">
        <f ca="1">MAX(_Saldo_Inicial _Actual - _Capital _Actual, 0)</f>
        <v>0</v>
      </c>
      <c r="AH76" s="292">
        <f>Fechas!_Dias_Interes_CAT</f>
        <v>30</v>
      </c>
      <c r="AI76" s="97">
        <f t="shared" ca="1" si="11"/>
        <v>0</v>
      </c>
      <c r="AJ76" s="293">
        <f t="shared" ca="1" si="12"/>
        <v>0</v>
      </c>
      <c r="AK76" s="376"/>
      <c r="AL76" s="376"/>
      <c r="AM76" s="376"/>
      <c r="AN76" s="102"/>
      <c r="AO76" s="32"/>
      <c r="AP76" s="32"/>
      <c r="AV76" s="350"/>
      <c r="AW76" s="350"/>
      <c r="AX76" s="350"/>
      <c r="AY76" s="350"/>
      <c r="AZ76" s="350"/>
      <c r="BC76" s="350"/>
      <c r="BD76" s="350"/>
      <c r="BE76" s="350"/>
    </row>
    <row r="77" spans="2:57">
      <c r="B77" s="32"/>
      <c r="C77" s="32"/>
      <c r="J77" s="350">
        <v>58</v>
      </c>
      <c r="K77" s="350">
        <f t="shared" ca="1" si="13"/>
        <v>10</v>
      </c>
      <c r="L77" s="32">
        <f t="shared" ca="1" si="14"/>
        <v>5</v>
      </c>
      <c r="N77" s="20">
        <f t="shared" ca="1" si="2"/>
        <v>0</v>
      </c>
      <c r="O77" s="97">
        <f t="shared" ca="1" si="15"/>
        <v>0</v>
      </c>
      <c r="Q77" s="97">
        <f ca="1">MAX( _Saldo_Final _Anterior + _Saldo_Ciclico, 0)</f>
        <v>0</v>
      </c>
      <c r="S77" s="20">
        <f t="shared" ca="1" si="4"/>
        <v>0</v>
      </c>
      <c r="T77" s="20">
        <f t="shared" ca="1" si="5"/>
        <v>0</v>
      </c>
      <c r="U77" s="20">
        <f>Fechas!_Dias_Interes_Pago</f>
        <v>30</v>
      </c>
      <c r="V77" s="20">
        <f t="shared" ca="1" si="6"/>
        <v>0</v>
      </c>
      <c r="X77" s="97">
        <f t="shared" ca="1" si="7"/>
        <v>0</v>
      </c>
      <c r="Z77" s="97">
        <f t="shared" ca="1" si="8"/>
        <v>0</v>
      </c>
      <c r="AA77" s="97">
        <f t="shared" ca="1" si="9"/>
        <v>0</v>
      </c>
      <c r="AB77" s="97">
        <f ca="1">MAX( _Calculo_Capital _Actual, _Stopper_Capital _Actual )</f>
        <v>0</v>
      </c>
      <c r="AD77" s="97">
        <f t="shared" ca="1" si="10"/>
        <v>0</v>
      </c>
      <c r="AF77" s="97">
        <f ca="1">MAX(_Saldo_Inicial _Actual - _Capital _Actual, 0)</f>
        <v>0</v>
      </c>
      <c r="AH77" s="292">
        <f>Fechas!_Dias_Interes_CAT</f>
        <v>30</v>
      </c>
      <c r="AI77" s="97">
        <f t="shared" ca="1" si="11"/>
        <v>0</v>
      </c>
      <c r="AJ77" s="293">
        <f t="shared" ca="1" si="12"/>
        <v>0</v>
      </c>
      <c r="AK77" s="376"/>
      <c r="AL77" s="376"/>
      <c r="AM77" s="376"/>
      <c r="AN77" s="102"/>
      <c r="AO77" s="32"/>
      <c r="AP77" s="32"/>
      <c r="AV77" s="350"/>
      <c r="AW77" s="350"/>
      <c r="AX77" s="350"/>
      <c r="AY77" s="350"/>
      <c r="AZ77" s="350"/>
      <c r="BC77" s="350"/>
      <c r="BD77" s="350"/>
      <c r="BE77" s="350"/>
    </row>
    <row r="78" spans="2:57">
      <c r="B78" s="32"/>
      <c r="C78" s="32"/>
      <c r="J78" s="350">
        <v>59</v>
      </c>
      <c r="K78" s="350">
        <f t="shared" ca="1" si="13"/>
        <v>11</v>
      </c>
      <c r="L78" s="32">
        <f t="shared" ca="1" si="14"/>
        <v>5</v>
      </c>
      <c r="N78" s="20">
        <f t="shared" ca="1" si="2"/>
        <v>0</v>
      </c>
      <c r="O78" s="97">
        <f t="shared" ca="1" si="15"/>
        <v>0</v>
      </c>
      <c r="Q78" s="97">
        <f ca="1">MAX( _Saldo_Final _Anterior + _Saldo_Ciclico, 0)</f>
        <v>0</v>
      </c>
      <c r="S78" s="20">
        <f t="shared" ca="1" si="4"/>
        <v>0</v>
      </c>
      <c r="T78" s="20">
        <f t="shared" ca="1" si="5"/>
        <v>0</v>
      </c>
      <c r="U78" s="20">
        <f>Fechas!_Dias_Interes_Pago</f>
        <v>30</v>
      </c>
      <c r="V78" s="20">
        <f t="shared" ca="1" si="6"/>
        <v>0</v>
      </c>
      <c r="X78" s="97">
        <f t="shared" ca="1" si="7"/>
        <v>0</v>
      </c>
      <c r="Z78" s="97">
        <f t="shared" ca="1" si="8"/>
        <v>0</v>
      </c>
      <c r="AA78" s="97">
        <f t="shared" ca="1" si="9"/>
        <v>0</v>
      </c>
      <c r="AB78" s="97">
        <f ca="1">MAX( _Calculo_Capital _Actual, _Stopper_Capital _Actual )</f>
        <v>0</v>
      </c>
      <c r="AD78" s="97">
        <f t="shared" ca="1" si="10"/>
        <v>0</v>
      </c>
      <c r="AF78" s="97">
        <f ca="1">MAX(_Saldo_Inicial _Actual - _Capital _Actual, 0)</f>
        <v>0</v>
      </c>
      <c r="AH78" s="292">
        <f>Fechas!_Dias_Interes_CAT</f>
        <v>30</v>
      </c>
      <c r="AI78" s="97">
        <f t="shared" ca="1" si="11"/>
        <v>0</v>
      </c>
      <c r="AJ78" s="293">
        <f t="shared" ca="1" si="12"/>
        <v>0</v>
      </c>
      <c r="AK78" s="376"/>
      <c r="AL78" s="376"/>
      <c r="AM78" s="376"/>
      <c r="AN78" s="102"/>
      <c r="AO78" s="32"/>
      <c r="AP78" s="32"/>
      <c r="AV78" s="350"/>
      <c r="AW78" s="350"/>
      <c r="AX78" s="350"/>
      <c r="AY78" s="350"/>
      <c r="AZ78" s="350"/>
      <c r="BC78" s="350"/>
      <c r="BD78" s="350"/>
      <c r="BE78" s="350"/>
    </row>
    <row r="79" spans="2:57">
      <c r="J79" s="350">
        <v>60</v>
      </c>
      <c r="K79" s="350">
        <f ca="1">MOD( _Amortizacion - 1, Periodos.Por.Ciclo ) + 1</f>
        <v>12</v>
      </c>
      <c r="L79" s="32">
        <f ca="1">INT(( _Amortizacion - 1 ) / Periodos.Por.Ciclo ) + 1</f>
        <v>5</v>
      </c>
      <c r="N79" s="20">
        <f ca="1">( ( Monto.Financiar + ( Monto.Extra.Ciclo.1 * ( _Ciclo = 1 ) ) ) * ( _Ciclicas = 1 )) * ( _Amortizacion &lt;= Numero.Pagos )</f>
        <v>0</v>
      </c>
      <c r="O79" s="97">
        <f ca="1" xml:space="preserve"> ( Pago.Fijo + ( Pago.Extra.Ciclo.1 * ( _Ciclo = 1 ) ) ) * ( _Amortizacion &lt;= Numero.Pagos )</f>
        <v>0</v>
      </c>
      <c r="Q79" s="97">
        <f ca="1">MAX( _Saldo_Final _Anterior + _Saldo_Ciclico, 0)</f>
        <v>0</v>
      </c>
      <c r="S79" s="20">
        <f ca="1">_Saldo_Inicial * Tasa.Diaria</f>
        <v>0</v>
      </c>
      <c r="T79" s="20">
        <f ca="1" xml:space="preserve"> _Interes_Diario * Dias.Por.Periodo</f>
        <v>0</v>
      </c>
      <c r="U79" s="20">
        <f>Fechas!_Dias_Interes_Pago</f>
        <v>30</v>
      </c>
      <c r="V79" s="20">
        <f ca="1" xml:space="preserve"> _Interes_Diario * _Dias_Interes_Periodo</f>
        <v>0</v>
      </c>
      <c r="X79" s="97">
        <f ca="1" xml:space="preserve"> _Interes * Iva.Intereses</f>
        <v>0</v>
      </c>
      <c r="Z79" s="97">
        <f ca="1" xml:space="preserve"> _Pago_Fijo - ( _Interes_Periodo_Regular * ( 1 + Iva.Intereses ) )</f>
        <v>0</v>
      </c>
      <c r="AA79" s="97">
        <f ca="1">_Saldo_Inicial * ( _Amortizacion = Numero.Pagos )</f>
        <v>0</v>
      </c>
      <c r="AB79" s="97">
        <f ca="1">MAX( _Calculo_Capital _Actual, _Stopper_Capital _Actual )</f>
        <v>0</v>
      </c>
      <c r="AD79" s="97">
        <f ca="1" xml:space="preserve"> _Capital + _Interes + _Iva</f>
        <v>0</v>
      </c>
      <c r="AF79" s="97">
        <f ca="1">MAX(_Saldo_Inicial _Actual - _Capital _Actual, 0)</f>
        <v>0</v>
      </c>
      <c r="AH79" s="292">
        <f>Fechas!_Dias_Interes_CAT</f>
        <v>30</v>
      </c>
      <c r="AI79" s="97">
        <f ca="1" xml:space="preserve"> _Interes_Diario * _Dias_Cat</f>
        <v>0</v>
      </c>
      <c r="AJ79" s="293">
        <f ca="1" xml:space="preserve"> _Capital + _Interes_CAT</f>
        <v>0</v>
      </c>
    </row>
  </sheetData>
  <mergeCells count="3">
    <mergeCell ref="J14:L14"/>
    <mergeCell ref="N14:O14"/>
    <mergeCell ref="AH14:AJ14"/>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9">
    <tabColor theme="7" tint="0.39997558519241921"/>
  </sheetPr>
  <dimension ref="A1:AI279"/>
  <sheetViews>
    <sheetView zoomScale="85" zoomScaleNormal="85" workbookViewId="0"/>
    <sheetView workbookViewId="1"/>
  </sheetViews>
  <sheetFormatPr defaultColWidth="9.140625" defaultRowHeight="15"/>
  <cols>
    <col min="1" max="1" width="1.42578125" style="350" customWidth="1"/>
    <col min="2" max="3" width="30.140625" style="350" customWidth="1"/>
    <col min="4" max="4" width="1.7109375" customWidth="1"/>
    <col min="5" max="5" width="30.140625" style="350" customWidth="1"/>
    <col min="6" max="6" width="30.140625" style="350" bestFit="1" customWidth="1"/>
    <col min="7" max="7" width="1.42578125" style="350" customWidth="1"/>
    <col min="8" max="8" width="1.42578125" style="361" customWidth="1"/>
    <col min="9" max="9" width="1.42578125" style="350" customWidth="1"/>
    <col min="10" max="12" width="16.7109375" style="350" customWidth="1"/>
    <col min="13" max="13" width="1.7109375" bestFit="1" customWidth="1"/>
    <col min="14" max="14" width="16.7109375" style="350" customWidth="1"/>
    <col min="18" max="18" width="12.5703125" bestFit="1" customWidth="1"/>
  </cols>
  <sheetData>
    <row r="1" spans="1:35">
      <c r="A1" s="670"/>
      <c r="B1" s="670"/>
      <c r="C1" s="670"/>
      <c r="E1" s="670"/>
      <c r="F1" s="670"/>
      <c r="G1" s="670"/>
      <c r="I1" s="670"/>
      <c r="J1" s="670"/>
      <c r="K1" s="670"/>
      <c r="L1" s="670"/>
      <c r="N1" s="670"/>
    </row>
    <row r="2" spans="1:35" s="350" customFormat="1" ht="20.25" thickBot="1">
      <c r="A2" s="84"/>
      <c r="B2" s="84"/>
      <c r="C2" s="84"/>
      <c r="D2" s="12"/>
      <c r="E2" s="84"/>
      <c r="F2" s="84"/>
      <c r="G2" s="84"/>
      <c r="H2" s="356"/>
      <c r="I2" s="84"/>
      <c r="J2" s="389" t="s">
        <v>82</v>
      </c>
      <c r="K2" s="281" t="s">
        <v>2501</v>
      </c>
      <c r="L2" s="84"/>
      <c r="M2" s="12"/>
      <c r="N2" s="84"/>
      <c r="O2"/>
      <c r="P2"/>
      <c r="Q2"/>
      <c r="R2"/>
      <c r="S2" s="102"/>
      <c r="Z2"/>
      <c r="AA2"/>
      <c r="AB2"/>
      <c r="AC2"/>
      <c r="AD2"/>
      <c r="AG2"/>
      <c r="AH2"/>
      <c r="AI2"/>
    </row>
    <row r="3" spans="1:35" s="108" customFormat="1" ht="15.75" thickTop="1">
      <c r="D3"/>
      <c r="H3" s="358"/>
      <c r="J3" s="359" t="s">
        <v>1718</v>
      </c>
      <c r="K3" s="102" t="s">
        <v>2511</v>
      </c>
      <c r="M3" s="117"/>
      <c r="O3" s="117"/>
      <c r="P3" s="117"/>
      <c r="Q3" s="117"/>
      <c r="R3" s="117"/>
      <c r="S3" s="290"/>
      <c r="Z3" s="117"/>
      <c r="AA3" s="117"/>
      <c r="AB3" s="117"/>
      <c r="AC3" s="117"/>
      <c r="AD3" s="117"/>
      <c r="AG3" s="117"/>
      <c r="AH3" s="117"/>
      <c r="AI3" s="117"/>
    </row>
    <row r="4" spans="1:35" s="270" customFormat="1" ht="15" hidden="1" customHeight="1">
      <c r="B4"/>
      <c r="C4"/>
      <c r="D4"/>
      <c r="E4"/>
      <c r="F4"/>
      <c r="H4" s="360"/>
      <c r="M4" s="121"/>
      <c r="O4" s="121"/>
      <c r="P4" s="121"/>
      <c r="Q4" s="121"/>
      <c r="R4" s="121"/>
      <c r="S4" s="390"/>
      <c r="Z4" s="121"/>
      <c r="AA4" s="121"/>
      <c r="AB4" s="121"/>
      <c r="AC4" s="121"/>
      <c r="AD4" s="121"/>
      <c r="AG4" s="121"/>
      <c r="AH4" s="121"/>
      <c r="AI4" s="121"/>
    </row>
    <row r="5" spans="1:35" s="108" customFormat="1" ht="15" hidden="1" customHeight="1">
      <c r="B5"/>
      <c r="C5"/>
      <c r="D5"/>
      <c r="E5"/>
      <c r="F5"/>
      <c r="H5" s="358"/>
      <c r="J5" s="350"/>
      <c r="K5" s="350"/>
      <c r="L5" s="350"/>
      <c r="M5" s="117"/>
      <c r="N5" s="350"/>
      <c r="O5" s="117"/>
      <c r="P5" s="117"/>
      <c r="Q5" s="117"/>
      <c r="R5" s="117"/>
      <c r="S5" s="290"/>
      <c r="T5" s="117"/>
      <c r="Z5" s="117"/>
      <c r="AA5" s="117"/>
      <c r="AB5" s="117"/>
      <c r="AC5" s="117"/>
      <c r="AD5" s="117"/>
      <c r="AG5" s="117"/>
      <c r="AH5" s="117"/>
      <c r="AI5" s="117"/>
    </row>
    <row r="6" spans="1:35" s="350" customFormat="1" ht="15" hidden="1" customHeight="1">
      <c r="B6"/>
      <c r="C6"/>
      <c r="D6"/>
      <c r="E6"/>
      <c r="F6"/>
      <c r="H6" s="361"/>
      <c r="M6"/>
      <c r="O6"/>
      <c r="P6"/>
      <c r="Q6"/>
      <c r="R6"/>
      <c r="S6" s="102"/>
      <c r="T6" s="362"/>
      <c r="Z6"/>
      <c r="AA6"/>
      <c r="AB6"/>
      <c r="AC6"/>
      <c r="AD6"/>
      <c r="AG6"/>
      <c r="AH6"/>
      <c r="AI6"/>
    </row>
    <row r="7" spans="1:35" s="350" customFormat="1" ht="15" hidden="1" customHeight="1">
      <c r="B7"/>
      <c r="C7"/>
      <c r="D7"/>
      <c r="E7"/>
      <c r="F7"/>
      <c r="H7" s="361"/>
      <c r="M7"/>
      <c r="O7"/>
      <c r="P7"/>
      <c r="Q7"/>
      <c r="R7"/>
      <c r="S7" s="102"/>
      <c r="Z7"/>
      <c r="AA7"/>
      <c r="AB7"/>
      <c r="AC7"/>
      <c r="AD7"/>
      <c r="AG7"/>
      <c r="AH7"/>
      <c r="AI7"/>
    </row>
    <row r="8" spans="1:35" s="350" customFormat="1" ht="15" hidden="1" customHeight="1">
      <c r="B8"/>
      <c r="C8"/>
      <c r="D8"/>
      <c r="E8"/>
      <c r="F8"/>
      <c r="H8" s="361"/>
      <c r="M8"/>
      <c r="O8"/>
      <c r="P8"/>
      <c r="Q8"/>
      <c r="R8"/>
      <c r="S8" s="102"/>
      <c r="Z8"/>
      <c r="AA8"/>
      <c r="AB8"/>
      <c r="AC8"/>
      <c r="AD8"/>
      <c r="AG8"/>
      <c r="AH8"/>
      <c r="AI8"/>
    </row>
    <row r="9" spans="1:35" s="350" customFormat="1" ht="15" hidden="1" customHeight="1">
      <c r="B9"/>
      <c r="C9"/>
      <c r="D9"/>
      <c r="E9"/>
      <c r="F9"/>
      <c r="H9" s="361"/>
      <c r="M9"/>
      <c r="S9" s="102"/>
      <c r="Z9"/>
      <c r="AA9"/>
      <c r="AB9"/>
      <c r="AC9"/>
      <c r="AD9"/>
      <c r="AG9"/>
      <c r="AH9"/>
      <c r="AI9"/>
    </row>
    <row r="10" spans="1:35" s="350" customFormat="1" ht="15" hidden="1" customHeight="1">
      <c r="B10"/>
      <c r="C10"/>
      <c r="D10"/>
      <c r="E10"/>
      <c r="F10"/>
      <c r="H10" s="361"/>
      <c r="M10"/>
      <c r="S10" s="99"/>
      <c r="T10" s="20"/>
      <c r="Z10"/>
      <c r="AA10"/>
      <c r="AB10"/>
      <c r="AC10"/>
      <c r="AD10"/>
      <c r="AG10"/>
      <c r="AH10"/>
      <c r="AI10"/>
    </row>
    <row r="11" spans="1:35" s="350" customFormat="1" ht="15" hidden="1" customHeight="1">
      <c r="B11"/>
      <c r="C11"/>
      <c r="D11"/>
      <c r="E11"/>
      <c r="F11"/>
      <c r="H11" s="361"/>
      <c r="M11"/>
      <c r="S11" s="99"/>
      <c r="T11" s="20"/>
      <c r="Z11"/>
      <c r="AA11"/>
      <c r="AB11"/>
      <c r="AC11"/>
      <c r="AD11"/>
      <c r="AG11"/>
      <c r="AH11"/>
      <c r="AI11"/>
    </row>
    <row r="12" spans="1:35" s="350" customFormat="1" ht="15" hidden="1" customHeight="1">
      <c r="B12"/>
      <c r="C12"/>
      <c r="D12"/>
      <c r="E12"/>
      <c r="F12"/>
      <c r="H12" s="361"/>
      <c r="J12" s="113"/>
      <c r="K12" s="113"/>
      <c r="L12" s="108"/>
      <c r="M12"/>
      <c r="N12" s="363"/>
      <c r="S12" s="102"/>
      <c r="Z12"/>
      <c r="AA12"/>
      <c r="AB12"/>
      <c r="AC12"/>
      <c r="AD12"/>
      <c r="AG12"/>
      <c r="AH12"/>
      <c r="AI12"/>
    </row>
    <row r="13" spans="1:35" s="350" customFormat="1">
      <c r="B13"/>
      <c r="C13"/>
      <c r="D13"/>
      <c r="E13"/>
      <c r="F13"/>
      <c r="H13" s="361"/>
      <c r="J13" s="113"/>
      <c r="K13" s="113"/>
      <c r="L13" s="108"/>
      <c r="M13"/>
      <c r="N13" s="363"/>
      <c r="S13" s="102"/>
      <c r="Z13"/>
      <c r="AA13"/>
      <c r="AB13"/>
      <c r="AC13"/>
      <c r="AD13"/>
      <c r="AG13"/>
      <c r="AH13"/>
      <c r="AI13"/>
    </row>
    <row r="14" spans="1:35" s="350" customFormat="1">
      <c r="B14"/>
      <c r="C14"/>
      <c r="D14"/>
      <c r="E14"/>
      <c r="F14"/>
      <c r="H14" s="361"/>
      <c r="J14"/>
      <c r="K14"/>
      <c r="L14"/>
      <c r="M14"/>
      <c r="N14"/>
      <c r="S14" s="102"/>
    </row>
    <row r="15" spans="1:35" s="108" customFormat="1">
      <c r="B15"/>
      <c r="C15"/>
      <c r="D15"/>
      <c r="E15"/>
      <c r="F15"/>
      <c r="H15" s="358"/>
      <c r="J15" s="117"/>
      <c r="K15" s="117"/>
      <c r="M15"/>
      <c r="S15" s="290"/>
    </row>
    <row r="16" spans="1:35" s="90" customFormat="1">
      <c r="B16" s="367"/>
      <c r="C16" s="358"/>
      <c r="D16"/>
      <c r="E16" s="367"/>
      <c r="F16" s="358"/>
      <c r="H16" s="368"/>
      <c r="J16" s="369" t="s">
        <v>2502</v>
      </c>
      <c r="K16" s="369" t="s">
        <v>2503</v>
      </c>
      <c r="L16" s="369" t="s">
        <v>2504</v>
      </c>
      <c r="M16"/>
      <c r="N16" s="372" t="s">
        <v>2505</v>
      </c>
      <c r="S16" s="391"/>
    </row>
    <row r="17" spans="2:19">
      <c r="B17" s="102" t="s">
        <v>2506</v>
      </c>
      <c r="C17" s="374">
        <f ca="1">'Configuración de Tablas'!K27</f>
        <v>11116.156650000001</v>
      </c>
      <c r="E17" s="99" t="s">
        <v>2507</v>
      </c>
      <c r="F17" s="274">
        <f ca="1">Periodos.Por.Año</f>
        <v>12</v>
      </c>
      <c r="K17"/>
    </row>
    <row r="18" spans="2:19">
      <c r="B18" s="102" t="s">
        <v>2508</v>
      </c>
      <c r="C18" s="375">
        <f ca="1">'Configuración de Tablas'!K28</f>
        <v>12</v>
      </c>
      <c r="E18" s="289"/>
      <c r="F18" s="274"/>
      <c r="J18" s="376"/>
      <c r="K18"/>
      <c r="Q18" s="378" t="s">
        <v>81</v>
      </c>
      <c r="R18" s="350"/>
    </row>
    <row r="19" spans="2:19">
      <c r="B19" s="102" t="s">
        <v>2509</v>
      </c>
      <c r="C19" s="375">
        <f ca="1">'Configuración de Tablas'!K29</f>
        <v>12</v>
      </c>
      <c r="E19" s="289"/>
      <c r="F19" s="274"/>
      <c r="J19" s="361">
        <v>0</v>
      </c>
      <c r="K19" s="387"/>
      <c r="L19" s="361"/>
      <c r="M19" s="387"/>
      <c r="N19" s="361"/>
      <c r="Q19" s="350"/>
      <c r="R19" s="350"/>
    </row>
    <row r="20" spans="2:19">
      <c r="B20" s="290"/>
      <c r="C20"/>
      <c r="E20" s="290"/>
      <c r="F20" s="116"/>
      <c r="J20" s="350">
        <v>1</v>
      </c>
      <c r="K20" s="350">
        <f t="shared" ref="K20:K51" ca="1" si="0">MOD( _Amortizacion - 1, Periodos.Por.Ciclo ) + 1</f>
        <v>1</v>
      </c>
      <c r="L20" s="32">
        <f t="shared" ref="L20:L51" ca="1" si="1">INT(( _Amortizacion - 1 ) / Periodos.Por.Ciclo ) + 1</f>
        <v>1</v>
      </c>
      <c r="N20" s="20">
        <f t="shared" ref="N20:N51" ca="1" si="2">( ( Monto.Renovacion ) * ( _Ciclicas = 1 ) * ( _Ciclo &gt; 1 ) ) * ( _Amortizacion &lt;= Numero.De.Pagos )</f>
        <v>0</v>
      </c>
      <c r="Q20" s="376" t="s">
        <v>82</v>
      </c>
      <c r="R20" s="392">
        <v>41212</v>
      </c>
      <c r="S20" s="102" t="s">
        <v>2510</v>
      </c>
    </row>
    <row r="21" spans="2:19">
      <c r="B21"/>
      <c r="C21"/>
      <c r="E21"/>
      <c r="F21"/>
      <c r="J21" s="350">
        <v>2</v>
      </c>
      <c r="K21" s="350">
        <f t="shared" ca="1" si="0"/>
        <v>2</v>
      </c>
      <c r="L21" s="32">
        <f t="shared" ca="1" si="1"/>
        <v>1</v>
      </c>
      <c r="N21" s="20">
        <f t="shared" ca="1" si="2"/>
        <v>0</v>
      </c>
    </row>
    <row r="22" spans="2:19">
      <c r="B22"/>
      <c r="C22"/>
      <c r="E22"/>
      <c r="F22"/>
      <c r="J22" s="350">
        <v>3</v>
      </c>
      <c r="K22" s="350">
        <f t="shared" ca="1" si="0"/>
        <v>3</v>
      </c>
      <c r="L22" s="32">
        <f t="shared" ca="1" si="1"/>
        <v>1</v>
      </c>
      <c r="N22" s="20">
        <f t="shared" ca="1" si="2"/>
        <v>0</v>
      </c>
    </row>
    <row r="23" spans="2:19">
      <c r="B23"/>
      <c r="C23"/>
      <c r="E23"/>
      <c r="F23"/>
      <c r="J23" s="350">
        <v>4</v>
      </c>
      <c r="K23" s="350">
        <f t="shared" ca="1" si="0"/>
        <v>4</v>
      </c>
      <c r="L23" s="32">
        <f t="shared" ca="1" si="1"/>
        <v>1</v>
      </c>
      <c r="N23" s="20">
        <f t="shared" ca="1" si="2"/>
        <v>0</v>
      </c>
    </row>
    <row r="24" spans="2:19">
      <c r="B24"/>
      <c r="C24"/>
      <c r="E24"/>
      <c r="F24"/>
      <c r="J24" s="350">
        <v>5</v>
      </c>
      <c r="K24" s="350">
        <f t="shared" ca="1" si="0"/>
        <v>5</v>
      </c>
      <c r="L24" s="32">
        <f t="shared" ca="1" si="1"/>
        <v>1</v>
      </c>
      <c r="N24" s="20">
        <f t="shared" ca="1" si="2"/>
        <v>0</v>
      </c>
    </row>
    <row r="25" spans="2:19">
      <c r="B25"/>
      <c r="C25"/>
      <c r="E25"/>
      <c r="F25"/>
      <c r="J25" s="350">
        <v>6</v>
      </c>
      <c r="K25" s="350">
        <f t="shared" ca="1" si="0"/>
        <v>6</v>
      </c>
      <c r="L25" s="32">
        <f t="shared" ca="1" si="1"/>
        <v>1</v>
      </c>
      <c r="N25" s="20">
        <f t="shared" ca="1" si="2"/>
        <v>0</v>
      </c>
    </row>
    <row r="26" spans="2:19">
      <c r="B26"/>
      <c r="C26"/>
      <c r="E26"/>
      <c r="F26"/>
      <c r="J26" s="350">
        <v>7</v>
      </c>
      <c r="K26" s="350">
        <f t="shared" ca="1" si="0"/>
        <v>7</v>
      </c>
      <c r="L26" s="32">
        <f t="shared" ca="1" si="1"/>
        <v>1</v>
      </c>
      <c r="N26" s="20">
        <f t="shared" ca="1" si="2"/>
        <v>0</v>
      </c>
    </row>
    <row r="27" spans="2:19">
      <c r="B27"/>
      <c r="C27"/>
      <c r="E27"/>
      <c r="F27"/>
      <c r="J27" s="350">
        <v>8</v>
      </c>
      <c r="K27" s="350">
        <f t="shared" ca="1" si="0"/>
        <v>8</v>
      </c>
      <c r="L27" s="32">
        <f t="shared" ca="1" si="1"/>
        <v>1</v>
      </c>
      <c r="N27" s="20">
        <f t="shared" ca="1" si="2"/>
        <v>0</v>
      </c>
    </row>
    <row r="28" spans="2:19">
      <c r="B28"/>
      <c r="C28"/>
      <c r="E28"/>
      <c r="F28"/>
      <c r="J28" s="350">
        <v>9</v>
      </c>
      <c r="K28" s="350">
        <f t="shared" ca="1" si="0"/>
        <v>9</v>
      </c>
      <c r="L28" s="32">
        <f t="shared" ca="1" si="1"/>
        <v>1</v>
      </c>
      <c r="N28" s="20">
        <f t="shared" ca="1" si="2"/>
        <v>0</v>
      </c>
    </row>
    <row r="29" spans="2:19">
      <c r="E29" s="388"/>
      <c r="F29" s="354"/>
      <c r="J29" s="350">
        <v>10</v>
      </c>
      <c r="K29" s="350">
        <f t="shared" ca="1" si="0"/>
        <v>10</v>
      </c>
      <c r="L29" s="32">
        <f t="shared" ca="1" si="1"/>
        <v>1</v>
      </c>
      <c r="N29" s="20">
        <f t="shared" ca="1" si="2"/>
        <v>0</v>
      </c>
    </row>
    <row r="30" spans="2:19">
      <c r="J30" s="350">
        <v>11</v>
      </c>
      <c r="K30" s="350">
        <f t="shared" ca="1" si="0"/>
        <v>11</v>
      </c>
      <c r="L30" s="32">
        <f t="shared" ca="1" si="1"/>
        <v>1</v>
      </c>
      <c r="N30" s="20">
        <f t="shared" ca="1" si="2"/>
        <v>0</v>
      </c>
    </row>
    <row r="31" spans="2:19">
      <c r="J31" s="350">
        <v>12</v>
      </c>
      <c r="K31" s="350">
        <f t="shared" ca="1" si="0"/>
        <v>12</v>
      </c>
      <c r="L31" s="32">
        <f t="shared" ca="1" si="1"/>
        <v>1</v>
      </c>
      <c r="N31" s="20">
        <f t="shared" ca="1" si="2"/>
        <v>0</v>
      </c>
    </row>
    <row r="32" spans="2:19">
      <c r="J32" s="350">
        <v>13</v>
      </c>
      <c r="K32" s="350">
        <f t="shared" ca="1" si="0"/>
        <v>1</v>
      </c>
      <c r="L32" s="32">
        <f t="shared" ca="1" si="1"/>
        <v>2</v>
      </c>
      <c r="N32" s="20">
        <f t="shared" ca="1" si="2"/>
        <v>0</v>
      </c>
    </row>
    <row r="33" spans="1:14">
      <c r="J33" s="350">
        <v>14</v>
      </c>
      <c r="K33" s="350">
        <f t="shared" ca="1" si="0"/>
        <v>2</v>
      </c>
      <c r="L33" s="32">
        <f t="shared" ca="1" si="1"/>
        <v>2</v>
      </c>
      <c r="N33" s="20">
        <f t="shared" ca="1" si="2"/>
        <v>0</v>
      </c>
    </row>
    <row r="34" spans="1:14">
      <c r="J34" s="350">
        <v>15</v>
      </c>
      <c r="K34" s="350">
        <f t="shared" ca="1" si="0"/>
        <v>3</v>
      </c>
      <c r="L34" s="32">
        <f t="shared" ca="1" si="1"/>
        <v>2</v>
      </c>
      <c r="N34" s="20">
        <f t="shared" ca="1" si="2"/>
        <v>0</v>
      </c>
    </row>
    <row r="35" spans="1:14">
      <c r="J35" s="350">
        <v>16</v>
      </c>
      <c r="K35" s="350">
        <f t="shared" ca="1" si="0"/>
        <v>4</v>
      </c>
      <c r="L35" s="32">
        <f t="shared" ca="1" si="1"/>
        <v>2</v>
      </c>
      <c r="N35" s="20">
        <f t="shared" ca="1" si="2"/>
        <v>0</v>
      </c>
    </row>
    <row r="36" spans="1:14">
      <c r="J36" s="350">
        <v>17</v>
      </c>
      <c r="K36" s="350">
        <f t="shared" ca="1" si="0"/>
        <v>5</v>
      </c>
      <c r="L36" s="32">
        <f t="shared" ca="1" si="1"/>
        <v>2</v>
      </c>
      <c r="N36" s="20">
        <f t="shared" ca="1" si="2"/>
        <v>0</v>
      </c>
    </row>
    <row r="37" spans="1:14">
      <c r="B37" s="32"/>
      <c r="C37" s="101"/>
      <c r="E37" s="111"/>
      <c r="F37" s="300"/>
      <c r="J37" s="350">
        <v>18</v>
      </c>
      <c r="K37" s="350">
        <f t="shared" ca="1" si="0"/>
        <v>6</v>
      </c>
      <c r="L37" s="32">
        <f t="shared" ca="1" si="1"/>
        <v>2</v>
      </c>
      <c r="N37" s="20">
        <f t="shared" ca="1" si="2"/>
        <v>0</v>
      </c>
    </row>
    <row r="38" spans="1:14">
      <c r="J38" s="350">
        <v>19</v>
      </c>
      <c r="K38" s="350">
        <f t="shared" ca="1" si="0"/>
        <v>7</v>
      </c>
      <c r="L38" s="32">
        <f t="shared" ca="1" si="1"/>
        <v>2</v>
      </c>
      <c r="N38" s="20">
        <f t="shared" ca="1" si="2"/>
        <v>0</v>
      </c>
    </row>
    <row r="39" spans="1:14">
      <c r="B39" s="32"/>
      <c r="C39" s="32"/>
      <c r="J39" s="350">
        <v>20</v>
      </c>
      <c r="K39" s="350">
        <f t="shared" ca="1" si="0"/>
        <v>8</v>
      </c>
      <c r="L39" s="32">
        <f t="shared" ca="1" si="1"/>
        <v>2</v>
      </c>
      <c r="N39" s="20">
        <f t="shared" ca="1" si="2"/>
        <v>0</v>
      </c>
    </row>
    <row r="40" spans="1:14">
      <c r="B40" s="32"/>
      <c r="C40" s="32"/>
      <c r="J40" s="350">
        <v>21</v>
      </c>
      <c r="K40" s="350">
        <f t="shared" ca="1" si="0"/>
        <v>9</v>
      </c>
      <c r="L40" s="32">
        <f t="shared" ca="1" si="1"/>
        <v>2</v>
      </c>
      <c r="N40" s="20">
        <f t="shared" ca="1" si="2"/>
        <v>0</v>
      </c>
    </row>
    <row r="41" spans="1:14">
      <c r="B41" s="32"/>
      <c r="C41" s="32"/>
      <c r="J41" s="350">
        <v>22</v>
      </c>
      <c r="K41" s="350">
        <f t="shared" ca="1" si="0"/>
        <v>10</v>
      </c>
      <c r="L41" s="32">
        <f t="shared" ca="1" si="1"/>
        <v>2</v>
      </c>
      <c r="N41" s="20">
        <f t="shared" ca="1" si="2"/>
        <v>0</v>
      </c>
    </row>
    <row r="42" spans="1:14">
      <c r="B42" s="301"/>
      <c r="C42" s="301"/>
      <c r="E42" s="116"/>
      <c r="F42" s="116"/>
      <c r="J42" s="350">
        <v>23</v>
      </c>
      <c r="K42" s="350">
        <f t="shared" ca="1" si="0"/>
        <v>11</v>
      </c>
      <c r="L42" s="32">
        <f t="shared" ca="1" si="1"/>
        <v>2</v>
      </c>
      <c r="N42" s="20">
        <f t="shared" ca="1" si="2"/>
        <v>0</v>
      </c>
    </row>
    <row r="43" spans="1:14">
      <c r="B43" s="32"/>
      <c r="C43" s="32"/>
      <c r="J43" s="350">
        <v>24</v>
      </c>
      <c r="K43" s="350">
        <f t="shared" ca="1" si="0"/>
        <v>12</v>
      </c>
      <c r="L43" s="32">
        <f t="shared" ca="1" si="1"/>
        <v>2</v>
      </c>
      <c r="N43" s="20">
        <f t="shared" ca="1" si="2"/>
        <v>0</v>
      </c>
    </row>
    <row r="44" spans="1:14">
      <c r="A44" s="116"/>
      <c r="B44" s="32"/>
      <c r="C44" s="32"/>
      <c r="G44" s="116"/>
      <c r="I44" s="116"/>
      <c r="J44" s="350">
        <v>25</v>
      </c>
      <c r="K44" s="350">
        <f t="shared" ca="1" si="0"/>
        <v>1</v>
      </c>
      <c r="L44" s="32">
        <f t="shared" ca="1" si="1"/>
        <v>3</v>
      </c>
      <c r="N44" s="20">
        <f t="shared" ca="1" si="2"/>
        <v>0</v>
      </c>
    </row>
    <row r="45" spans="1:14">
      <c r="B45" s="32"/>
      <c r="C45" s="32"/>
      <c r="J45" s="350">
        <v>26</v>
      </c>
      <c r="K45" s="350">
        <f t="shared" ca="1" si="0"/>
        <v>2</v>
      </c>
      <c r="L45" s="32">
        <f t="shared" ca="1" si="1"/>
        <v>3</v>
      </c>
      <c r="N45" s="20">
        <f t="shared" ca="1" si="2"/>
        <v>0</v>
      </c>
    </row>
    <row r="46" spans="1:14">
      <c r="B46" s="32"/>
      <c r="C46" s="32"/>
      <c r="J46" s="350">
        <v>27</v>
      </c>
      <c r="K46" s="350">
        <f t="shared" ca="1" si="0"/>
        <v>3</v>
      </c>
      <c r="L46" s="32">
        <f t="shared" ca="1" si="1"/>
        <v>3</v>
      </c>
      <c r="N46" s="20">
        <f t="shared" ca="1" si="2"/>
        <v>0</v>
      </c>
    </row>
    <row r="47" spans="1:14">
      <c r="B47" s="32"/>
      <c r="C47" s="32"/>
      <c r="J47" s="350">
        <v>28</v>
      </c>
      <c r="K47" s="350">
        <f t="shared" ca="1" si="0"/>
        <v>4</v>
      </c>
      <c r="L47" s="32">
        <f t="shared" ca="1" si="1"/>
        <v>3</v>
      </c>
      <c r="N47" s="20">
        <f t="shared" ca="1" si="2"/>
        <v>0</v>
      </c>
    </row>
    <row r="48" spans="1:14">
      <c r="B48" s="32"/>
      <c r="C48" s="32"/>
      <c r="J48" s="350">
        <v>29</v>
      </c>
      <c r="K48" s="350">
        <f t="shared" ca="1" si="0"/>
        <v>5</v>
      </c>
      <c r="L48" s="32">
        <f t="shared" ca="1" si="1"/>
        <v>3</v>
      </c>
      <c r="N48" s="20">
        <f t="shared" ca="1" si="2"/>
        <v>0</v>
      </c>
    </row>
    <row r="49" spans="2:14">
      <c r="B49" s="32"/>
      <c r="C49" s="32"/>
      <c r="J49" s="350">
        <v>30</v>
      </c>
      <c r="K49" s="350">
        <f t="shared" ca="1" si="0"/>
        <v>6</v>
      </c>
      <c r="L49" s="32">
        <f t="shared" ca="1" si="1"/>
        <v>3</v>
      </c>
      <c r="N49" s="20">
        <f t="shared" ca="1" si="2"/>
        <v>0</v>
      </c>
    </row>
    <row r="50" spans="2:14">
      <c r="B50" s="32"/>
      <c r="C50" s="32"/>
      <c r="J50" s="350">
        <v>31</v>
      </c>
      <c r="K50" s="350">
        <f t="shared" ca="1" si="0"/>
        <v>7</v>
      </c>
      <c r="L50" s="32">
        <f t="shared" ca="1" si="1"/>
        <v>3</v>
      </c>
      <c r="N50" s="20">
        <f t="shared" ca="1" si="2"/>
        <v>0</v>
      </c>
    </row>
    <row r="51" spans="2:14">
      <c r="B51" s="32"/>
      <c r="C51" s="32"/>
      <c r="J51" s="350">
        <v>32</v>
      </c>
      <c r="K51" s="350">
        <f t="shared" ca="1" si="0"/>
        <v>8</v>
      </c>
      <c r="L51" s="32">
        <f t="shared" ca="1" si="1"/>
        <v>3</v>
      </c>
      <c r="N51" s="20">
        <f t="shared" ca="1" si="2"/>
        <v>0</v>
      </c>
    </row>
    <row r="52" spans="2:14">
      <c r="B52" s="32"/>
      <c r="C52" s="32"/>
      <c r="J52" s="350">
        <v>33</v>
      </c>
      <c r="K52" s="350">
        <f t="shared" ref="K52:K79" ca="1" si="3">MOD( _Amortizacion - 1, Periodos.Por.Ciclo ) + 1</f>
        <v>9</v>
      </c>
      <c r="L52" s="32">
        <f t="shared" ref="L52:L79" ca="1" si="4">INT(( _Amortizacion - 1 ) / Periodos.Por.Ciclo ) + 1</f>
        <v>3</v>
      </c>
      <c r="N52" s="20">
        <f t="shared" ref="N52:N79" ca="1" si="5">( ( Monto.Renovacion ) * ( _Ciclicas = 1 ) * ( _Ciclo &gt; 1 ) ) * ( _Amortizacion &lt;= Numero.De.Pagos )</f>
        <v>0</v>
      </c>
    </row>
    <row r="53" spans="2:14">
      <c r="B53" s="32"/>
      <c r="C53" s="32"/>
      <c r="J53" s="350">
        <v>34</v>
      </c>
      <c r="K53" s="350">
        <f t="shared" ca="1" si="3"/>
        <v>10</v>
      </c>
      <c r="L53" s="32">
        <f t="shared" ca="1" si="4"/>
        <v>3</v>
      </c>
      <c r="N53" s="20">
        <f t="shared" ca="1" si="5"/>
        <v>0</v>
      </c>
    </row>
    <row r="54" spans="2:14">
      <c r="B54" s="32"/>
      <c r="C54" s="32"/>
      <c r="J54" s="350">
        <v>35</v>
      </c>
      <c r="K54" s="350">
        <f t="shared" ca="1" si="3"/>
        <v>11</v>
      </c>
      <c r="L54" s="32">
        <f t="shared" ca="1" si="4"/>
        <v>3</v>
      </c>
      <c r="N54" s="20">
        <f t="shared" ca="1" si="5"/>
        <v>0</v>
      </c>
    </row>
    <row r="55" spans="2:14">
      <c r="B55" s="32"/>
      <c r="C55" s="32"/>
      <c r="J55" s="350">
        <v>36</v>
      </c>
      <c r="K55" s="350">
        <f t="shared" ca="1" si="3"/>
        <v>12</v>
      </c>
      <c r="L55" s="32">
        <f t="shared" ca="1" si="4"/>
        <v>3</v>
      </c>
      <c r="N55" s="20">
        <f t="shared" ca="1" si="5"/>
        <v>0</v>
      </c>
    </row>
    <row r="56" spans="2:14">
      <c r="B56" s="32"/>
      <c r="C56" s="32"/>
      <c r="J56" s="350">
        <v>37</v>
      </c>
      <c r="K56" s="350">
        <f t="shared" ca="1" si="3"/>
        <v>1</v>
      </c>
      <c r="L56" s="32">
        <f t="shared" ca="1" si="4"/>
        <v>4</v>
      </c>
      <c r="N56" s="20">
        <f t="shared" ca="1" si="5"/>
        <v>0</v>
      </c>
    </row>
    <row r="57" spans="2:14">
      <c r="B57" s="32"/>
      <c r="C57" s="32"/>
      <c r="J57" s="350">
        <v>38</v>
      </c>
      <c r="K57" s="350">
        <f t="shared" ca="1" si="3"/>
        <v>2</v>
      </c>
      <c r="L57" s="32">
        <f t="shared" ca="1" si="4"/>
        <v>4</v>
      </c>
      <c r="N57" s="20">
        <f t="shared" ca="1" si="5"/>
        <v>0</v>
      </c>
    </row>
    <row r="58" spans="2:14">
      <c r="B58" s="32"/>
      <c r="C58" s="32"/>
      <c r="J58" s="350">
        <v>39</v>
      </c>
      <c r="K58" s="350">
        <f t="shared" ca="1" si="3"/>
        <v>3</v>
      </c>
      <c r="L58" s="32">
        <f t="shared" ca="1" si="4"/>
        <v>4</v>
      </c>
      <c r="N58" s="20">
        <f t="shared" ca="1" si="5"/>
        <v>0</v>
      </c>
    </row>
    <row r="59" spans="2:14">
      <c r="B59" s="32"/>
      <c r="C59" s="32"/>
      <c r="J59" s="350">
        <v>40</v>
      </c>
      <c r="K59" s="350">
        <f t="shared" ca="1" si="3"/>
        <v>4</v>
      </c>
      <c r="L59" s="32">
        <f t="shared" ca="1" si="4"/>
        <v>4</v>
      </c>
      <c r="N59" s="20">
        <f t="shared" ca="1" si="5"/>
        <v>0</v>
      </c>
    </row>
    <row r="60" spans="2:14">
      <c r="B60" s="32"/>
      <c r="C60" s="32"/>
      <c r="J60" s="350">
        <v>41</v>
      </c>
      <c r="K60" s="350">
        <f t="shared" ca="1" si="3"/>
        <v>5</v>
      </c>
      <c r="L60" s="32">
        <f t="shared" ca="1" si="4"/>
        <v>4</v>
      </c>
      <c r="N60" s="20">
        <f t="shared" ca="1" si="5"/>
        <v>0</v>
      </c>
    </row>
    <row r="61" spans="2:14">
      <c r="B61" s="32"/>
      <c r="C61" s="32"/>
      <c r="J61" s="350">
        <v>42</v>
      </c>
      <c r="K61" s="350">
        <f t="shared" ca="1" si="3"/>
        <v>6</v>
      </c>
      <c r="L61" s="32">
        <f t="shared" ca="1" si="4"/>
        <v>4</v>
      </c>
      <c r="N61" s="20">
        <f t="shared" ca="1" si="5"/>
        <v>0</v>
      </c>
    </row>
    <row r="62" spans="2:14">
      <c r="B62" s="32"/>
      <c r="C62" s="32"/>
      <c r="J62" s="350">
        <v>43</v>
      </c>
      <c r="K62" s="350">
        <f t="shared" ca="1" si="3"/>
        <v>7</v>
      </c>
      <c r="L62" s="32">
        <f t="shared" ca="1" si="4"/>
        <v>4</v>
      </c>
      <c r="N62" s="20">
        <f t="shared" ca="1" si="5"/>
        <v>0</v>
      </c>
    </row>
    <row r="63" spans="2:14">
      <c r="B63" s="32"/>
      <c r="C63" s="32"/>
      <c r="J63" s="350">
        <v>44</v>
      </c>
      <c r="K63" s="350">
        <f t="shared" ca="1" si="3"/>
        <v>8</v>
      </c>
      <c r="L63" s="32">
        <f t="shared" ca="1" si="4"/>
        <v>4</v>
      </c>
      <c r="N63" s="20">
        <f t="shared" ca="1" si="5"/>
        <v>0</v>
      </c>
    </row>
    <row r="64" spans="2:14">
      <c r="B64" s="32"/>
      <c r="C64" s="32"/>
      <c r="J64" s="350">
        <v>45</v>
      </c>
      <c r="K64" s="350">
        <f t="shared" ca="1" si="3"/>
        <v>9</v>
      </c>
      <c r="L64" s="32">
        <f t="shared" ca="1" si="4"/>
        <v>4</v>
      </c>
      <c r="N64" s="20">
        <f t="shared" ca="1" si="5"/>
        <v>0</v>
      </c>
    </row>
    <row r="65" spans="2:14">
      <c r="B65" s="32"/>
      <c r="C65" s="32"/>
      <c r="J65" s="350">
        <v>46</v>
      </c>
      <c r="K65" s="350">
        <f t="shared" ca="1" si="3"/>
        <v>10</v>
      </c>
      <c r="L65" s="32">
        <f t="shared" ca="1" si="4"/>
        <v>4</v>
      </c>
      <c r="N65" s="20">
        <f t="shared" ca="1" si="5"/>
        <v>0</v>
      </c>
    </row>
    <row r="66" spans="2:14">
      <c r="B66" s="32"/>
      <c r="C66" s="32"/>
      <c r="J66" s="350">
        <v>47</v>
      </c>
      <c r="K66" s="350">
        <f t="shared" ca="1" si="3"/>
        <v>11</v>
      </c>
      <c r="L66" s="32">
        <f t="shared" ca="1" si="4"/>
        <v>4</v>
      </c>
      <c r="N66" s="20">
        <f t="shared" ca="1" si="5"/>
        <v>0</v>
      </c>
    </row>
    <row r="67" spans="2:14">
      <c r="B67" s="32"/>
      <c r="C67" s="32"/>
      <c r="J67" s="350">
        <v>48</v>
      </c>
      <c r="K67" s="350">
        <f t="shared" ca="1" si="3"/>
        <v>12</v>
      </c>
      <c r="L67" s="32">
        <f t="shared" ca="1" si="4"/>
        <v>4</v>
      </c>
      <c r="N67" s="20">
        <f t="shared" ca="1" si="5"/>
        <v>0</v>
      </c>
    </row>
    <row r="68" spans="2:14">
      <c r="B68" s="32"/>
      <c r="C68" s="32"/>
      <c r="J68" s="350">
        <v>49</v>
      </c>
      <c r="K68" s="350">
        <f t="shared" ca="1" si="3"/>
        <v>1</v>
      </c>
      <c r="L68" s="32">
        <f t="shared" ca="1" si="4"/>
        <v>5</v>
      </c>
      <c r="N68" s="20">
        <f t="shared" ca="1" si="5"/>
        <v>0</v>
      </c>
    </row>
    <row r="69" spans="2:14">
      <c r="B69" s="32"/>
      <c r="C69" s="32"/>
      <c r="J69" s="350">
        <v>50</v>
      </c>
      <c r="K69" s="350">
        <f t="shared" ca="1" si="3"/>
        <v>2</v>
      </c>
      <c r="L69" s="32">
        <f t="shared" ca="1" si="4"/>
        <v>5</v>
      </c>
      <c r="N69" s="20">
        <f t="shared" ca="1" si="5"/>
        <v>0</v>
      </c>
    </row>
    <row r="70" spans="2:14">
      <c r="B70" s="32"/>
      <c r="C70" s="32"/>
      <c r="J70" s="350">
        <v>51</v>
      </c>
      <c r="K70" s="350">
        <f t="shared" ca="1" si="3"/>
        <v>3</v>
      </c>
      <c r="L70" s="32">
        <f t="shared" ca="1" si="4"/>
        <v>5</v>
      </c>
      <c r="N70" s="20">
        <f t="shared" ca="1" si="5"/>
        <v>0</v>
      </c>
    </row>
    <row r="71" spans="2:14">
      <c r="B71" s="32"/>
      <c r="C71" s="32"/>
      <c r="J71" s="350">
        <v>52</v>
      </c>
      <c r="K71" s="350">
        <f t="shared" ca="1" si="3"/>
        <v>4</v>
      </c>
      <c r="L71" s="32">
        <f t="shared" ca="1" si="4"/>
        <v>5</v>
      </c>
      <c r="N71" s="20">
        <f t="shared" ca="1" si="5"/>
        <v>0</v>
      </c>
    </row>
    <row r="72" spans="2:14">
      <c r="B72" s="32"/>
      <c r="C72" s="32"/>
      <c r="J72" s="350">
        <v>53</v>
      </c>
      <c r="K72" s="350">
        <f t="shared" ca="1" si="3"/>
        <v>5</v>
      </c>
      <c r="L72" s="32">
        <f t="shared" ca="1" si="4"/>
        <v>5</v>
      </c>
      <c r="N72" s="20">
        <f t="shared" ca="1" si="5"/>
        <v>0</v>
      </c>
    </row>
    <row r="73" spans="2:14">
      <c r="B73" s="32"/>
      <c r="C73" s="32"/>
      <c r="J73" s="350">
        <v>54</v>
      </c>
      <c r="K73" s="350">
        <f t="shared" ca="1" si="3"/>
        <v>6</v>
      </c>
      <c r="L73" s="32">
        <f t="shared" ca="1" si="4"/>
        <v>5</v>
      </c>
      <c r="N73" s="20">
        <f t="shared" ca="1" si="5"/>
        <v>0</v>
      </c>
    </row>
    <row r="74" spans="2:14">
      <c r="B74" s="32"/>
      <c r="C74" s="32"/>
      <c r="J74" s="350">
        <v>55</v>
      </c>
      <c r="K74" s="350">
        <f t="shared" ca="1" si="3"/>
        <v>7</v>
      </c>
      <c r="L74" s="32">
        <f t="shared" ca="1" si="4"/>
        <v>5</v>
      </c>
      <c r="N74" s="20">
        <f t="shared" ca="1" si="5"/>
        <v>0</v>
      </c>
    </row>
    <row r="75" spans="2:14">
      <c r="B75" s="32"/>
      <c r="C75" s="32"/>
      <c r="J75" s="350">
        <v>56</v>
      </c>
      <c r="K75" s="350">
        <f t="shared" ca="1" si="3"/>
        <v>8</v>
      </c>
      <c r="L75" s="32">
        <f t="shared" ca="1" si="4"/>
        <v>5</v>
      </c>
      <c r="N75" s="20">
        <f t="shared" ca="1" si="5"/>
        <v>0</v>
      </c>
    </row>
    <row r="76" spans="2:14">
      <c r="B76" s="32"/>
      <c r="C76" s="32"/>
      <c r="J76" s="350">
        <v>57</v>
      </c>
      <c r="K76" s="350">
        <f t="shared" ca="1" si="3"/>
        <v>9</v>
      </c>
      <c r="L76" s="32">
        <f t="shared" ca="1" si="4"/>
        <v>5</v>
      </c>
      <c r="N76" s="20">
        <f t="shared" ca="1" si="5"/>
        <v>0</v>
      </c>
    </row>
    <row r="77" spans="2:14">
      <c r="B77" s="32"/>
      <c r="C77" s="32"/>
      <c r="J77" s="350">
        <v>58</v>
      </c>
      <c r="K77" s="350">
        <f t="shared" ca="1" si="3"/>
        <v>10</v>
      </c>
      <c r="L77" s="32">
        <f t="shared" ca="1" si="4"/>
        <v>5</v>
      </c>
      <c r="N77" s="20">
        <f t="shared" ca="1" si="5"/>
        <v>0</v>
      </c>
    </row>
    <row r="78" spans="2:14">
      <c r="B78" s="32"/>
      <c r="C78" s="32"/>
      <c r="J78" s="350">
        <v>59</v>
      </c>
      <c r="K78" s="350">
        <f t="shared" ca="1" si="3"/>
        <v>11</v>
      </c>
      <c r="L78" s="32">
        <f t="shared" ca="1" si="4"/>
        <v>5</v>
      </c>
      <c r="N78" s="20">
        <f t="shared" ca="1" si="5"/>
        <v>0</v>
      </c>
    </row>
    <row r="79" spans="2:14">
      <c r="B79" s="32"/>
      <c r="C79" s="32"/>
      <c r="J79" s="350">
        <v>60</v>
      </c>
      <c r="K79" s="350">
        <f t="shared" ca="1" si="3"/>
        <v>12</v>
      </c>
      <c r="L79" s="32">
        <f t="shared" ca="1" si="4"/>
        <v>5</v>
      </c>
      <c r="N79" s="20">
        <f t="shared" ca="1" si="5"/>
        <v>0</v>
      </c>
    </row>
    <row r="80" spans="2:14">
      <c r="B80" s="32"/>
      <c r="C80" s="32"/>
      <c r="L80" s="32"/>
      <c r="N80" s="20"/>
    </row>
    <row r="81" spans="2:14">
      <c r="B81" s="32"/>
      <c r="C81" s="32"/>
      <c r="L81" s="32"/>
      <c r="N81" s="20"/>
    </row>
    <row r="82" spans="2:14">
      <c r="B82" s="32"/>
      <c r="C82" s="32"/>
      <c r="L82" s="32"/>
      <c r="N82" s="20"/>
    </row>
    <row r="83" spans="2:14">
      <c r="B83" s="32"/>
      <c r="C83" s="32"/>
      <c r="L83" s="32"/>
      <c r="N83" s="20"/>
    </row>
    <row r="84" spans="2:14">
      <c r="B84" s="32"/>
      <c r="C84" s="32"/>
      <c r="L84" s="32"/>
      <c r="N84" s="20"/>
    </row>
    <row r="85" spans="2:14">
      <c r="B85" s="32"/>
      <c r="C85" s="32"/>
      <c r="L85" s="32"/>
      <c r="N85" s="20"/>
    </row>
    <row r="86" spans="2:14">
      <c r="B86" s="32"/>
      <c r="C86" s="32"/>
      <c r="L86" s="32"/>
      <c r="N86" s="20"/>
    </row>
    <row r="87" spans="2:14">
      <c r="B87" s="32"/>
      <c r="C87" s="32"/>
      <c r="L87" s="32"/>
      <c r="N87" s="20"/>
    </row>
    <row r="88" spans="2:14">
      <c r="B88" s="32"/>
      <c r="C88" s="32"/>
      <c r="L88" s="32"/>
      <c r="N88" s="20"/>
    </row>
    <row r="89" spans="2:14">
      <c r="B89" s="32"/>
      <c r="C89" s="32"/>
      <c r="L89" s="32"/>
      <c r="N89" s="20"/>
    </row>
    <row r="90" spans="2:14">
      <c r="B90" s="32"/>
      <c r="C90" s="32"/>
      <c r="L90" s="32"/>
      <c r="N90" s="20"/>
    </row>
    <row r="91" spans="2:14">
      <c r="B91" s="32"/>
      <c r="C91" s="32"/>
      <c r="L91" s="32"/>
      <c r="N91" s="20"/>
    </row>
    <row r="92" spans="2:14">
      <c r="B92" s="32"/>
      <c r="C92" s="32"/>
      <c r="L92" s="32"/>
      <c r="N92" s="20"/>
    </row>
    <row r="93" spans="2:14">
      <c r="B93" s="32"/>
      <c r="C93" s="32"/>
      <c r="L93" s="32"/>
      <c r="N93" s="20"/>
    </row>
    <row r="94" spans="2:14">
      <c r="B94" s="32"/>
      <c r="C94" s="32"/>
      <c r="L94" s="32"/>
      <c r="N94" s="20"/>
    </row>
    <row r="95" spans="2:14">
      <c r="B95" s="32"/>
      <c r="C95" s="32"/>
      <c r="L95" s="32"/>
      <c r="N95" s="20"/>
    </row>
    <row r="96" spans="2:14">
      <c r="C96" s="32"/>
      <c r="L96" s="32"/>
      <c r="N96" s="20"/>
    </row>
    <row r="97" spans="2:14">
      <c r="C97" s="32"/>
      <c r="L97" s="32"/>
      <c r="N97" s="20"/>
    </row>
    <row r="98" spans="2:14">
      <c r="C98" s="32"/>
      <c r="L98" s="32"/>
      <c r="N98" s="20"/>
    </row>
    <row r="99" spans="2:14">
      <c r="B99" s="32"/>
      <c r="C99" s="32"/>
      <c r="L99" s="32"/>
      <c r="N99" s="20"/>
    </row>
    <row r="100" spans="2:14">
      <c r="B100" s="32"/>
      <c r="C100" s="32"/>
      <c r="L100" s="32"/>
      <c r="N100" s="20"/>
    </row>
    <row r="101" spans="2:14">
      <c r="B101" s="32"/>
      <c r="C101" s="32"/>
      <c r="L101" s="32"/>
      <c r="N101" s="20"/>
    </row>
    <row r="102" spans="2:14">
      <c r="B102" s="32"/>
      <c r="C102" s="32"/>
      <c r="L102" s="32"/>
      <c r="N102" s="20"/>
    </row>
    <row r="103" spans="2:14">
      <c r="B103" s="32"/>
      <c r="C103" s="32"/>
      <c r="L103" s="32"/>
      <c r="N103" s="20"/>
    </row>
    <row r="104" spans="2:14">
      <c r="B104" s="32"/>
      <c r="C104" s="32"/>
      <c r="L104" s="32"/>
      <c r="N104" s="20"/>
    </row>
    <row r="105" spans="2:14">
      <c r="L105" s="32"/>
      <c r="N105" s="20"/>
    </row>
    <row r="106" spans="2:14">
      <c r="L106" s="32"/>
      <c r="N106" s="20"/>
    </row>
    <row r="107" spans="2:14">
      <c r="L107" s="32"/>
      <c r="N107" s="20"/>
    </row>
    <row r="108" spans="2:14">
      <c r="L108" s="32"/>
      <c r="N108" s="20"/>
    </row>
    <row r="109" spans="2:14">
      <c r="L109" s="32"/>
      <c r="N109" s="20"/>
    </row>
    <row r="110" spans="2:14">
      <c r="L110" s="32"/>
      <c r="N110" s="20"/>
    </row>
    <row r="111" spans="2:14">
      <c r="L111" s="32"/>
      <c r="N111" s="20"/>
    </row>
    <row r="112" spans="2:14">
      <c r="L112" s="32"/>
      <c r="N112" s="20"/>
    </row>
    <row r="113" spans="12:14">
      <c r="L113" s="32"/>
      <c r="N113" s="20"/>
    </row>
    <row r="114" spans="12:14">
      <c r="L114" s="32"/>
      <c r="N114" s="20"/>
    </row>
    <row r="115" spans="12:14">
      <c r="L115" s="32"/>
      <c r="N115" s="20"/>
    </row>
    <row r="116" spans="12:14">
      <c r="L116" s="32"/>
      <c r="N116" s="20"/>
    </row>
    <row r="117" spans="12:14">
      <c r="L117" s="32"/>
      <c r="N117" s="20"/>
    </row>
    <row r="118" spans="12:14">
      <c r="L118" s="32"/>
      <c r="N118" s="20"/>
    </row>
    <row r="119" spans="12:14">
      <c r="L119" s="32"/>
      <c r="N119" s="20"/>
    </row>
    <row r="120" spans="12:14">
      <c r="L120" s="32"/>
      <c r="N120" s="20"/>
    </row>
    <row r="121" spans="12:14">
      <c r="L121" s="32"/>
      <c r="N121" s="20"/>
    </row>
    <row r="122" spans="12:14">
      <c r="L122" s="32"/>
      <c r="N122" s="20"/>
    </row>
    <row r="123" spans="12:14">
      <c r="L123" s="32"/>
      <c r="N123" s="20"/>
    </row>
    <row r="124" spans="12:14">
      <c r="L124" s="32"/>
      <c r="N124" s="20"/>
    </row>
    <row r="125" spans="12:14">
      <c r="L125" s="32"/>
      <c r="N125" s="20"/>
    </row>
    <row r="126" spans="12:14">
      <c r="L126" s="32"/>
      <c r="N126" s="20"/>
    </row>
    <row r="127" spans="12:14">
      <c r="L127" s="32"/>
      <c r="N127" s="20"/>
    </row>
    <row r="128" spans="12:14">
      <c r="L128" s="32"/>
      <c r="N128" s="20"/>
    </row>
    <row r="129" spans="12:14">
      <c r="L129" s="32"/>
      <c r="N129" s="20"/>
    </row>
    <row r="130" spans="12:14">
      <c r="L130" s="32"/>
      <c r="N130" s="20"/>
    </row>
    <row r="131" spans="12:14">
      <c r="L131" s="32"/>
      <c r="N131" s="20"/>
    </row>
    <row r="132" spans="12:14">
      <c r="L132" s="32"/>
      <c r="N132" s="20"/>
    </row>
    <row r="133" spans="12:14">
      <c r="L133" s="32"/>
      <c r="N133" s="20"/>
    </row>
    <row r="134" spans="12:14">
      <c r="L134" s="32"/>
      <c r="N134" s="20"/>
    </row>
    <row r="135" spans="12:14">
      <c r="L135" s="32"/>
      <c r="N135" s="20"/>
    </row>
    <row r="136" spans="12:14">
      <c r="L136" s="32"/>
      <c r="N136" s="20"/>
    </row>
    <row r="137" spans="12:14">
      <c r="L137" s="32"/>
      <c r="N137" s="20"/>
    </row>
    <row r="138" spans="12:14">
      <c r="L138" s="32"/>
      <c r="N138" s="20"/>
    </row>
    <row r="139" spans="12:14">
      <c r="L139" s="32"/>
      <c r="N139" s="20"/>
    </row>
    <row r="140" spans="12:14">
      <c r="L140" s="32"/>
      <c r="N140" s="20"/>
    </row>
    <row r="141" spans="12:14">
      <c r="L141" s="32"/>
      <c r="N141" s="20"/>
    </row>
    <row r="142" spans="12:14">
      <c r="L142" s="32"/>
      <c r="N142" s="20"/>
    </row>
    <row r="143" spans="12:14">
      <c r="L143" s="32"/>
      <c r="N143" s="20"/>
    </row>
    <row r="144" spans="12:14">
      <c r="L144" s="32"/>
      <c r="N144" s="20"/>
    </row>
    <row r="145" spans="12:14">
      <c r="L145" s="32"/>
      <c r="N145" s="20"/>
    </row>
    <row r="146" spans="12:14">
      <c r="L146" s="32"/>
      <c r="N146" s="20"/>
    </row>
    <row r="147" spans="12:14">
      <c r="L147" s="32"/>
      <c r="N147" s="20"/>
    </row>
    <row r="148" spans="12:14">
      <c r="L148" s="32"/>
      <c r="N148" s="20"/>
    </row>
    <row r="149" spans="12:14">
      <c r="L149" s="32"/>
      <c r="N149" s="20"/>
    </row>
    <row r="150" spans="12:14">
      <c r="L150" s="32"/>
      <c r="N150" s="20"/>
    </row>
    <row r="151" spans="12:14">
      <c r="L151" s="32"/>
      <c r="N151" s="20"/>
    </row>
    <row r="152" spans="12:14">
      <c r="L152" s="32"/>
      <c r="N152" s="20"/>
    </row>
    <row r="153" spans="12:14">
      <c r="L153" s="32"/>
      <c r="N153" s="20"/>
    </row>
    <row r="154" spans="12:14">
      <c r="L154" s="32"/>
      <c r="N154" s="20"/>
    </row>
    <row r="155" spans="12:14">
      <c r="L155" s="32"/>
      <c r="N155" s="20"/>
    </row>
    <row r="156" spans="12:14">
      <c r="L156" s="32"/>
      <c r="N156" s="20"/>
    </row>
    <row r="157" spans="12:14">
      <c r="L157" s="32"/>
      <c r="N157" s="20"/>
    </row>
    <row r="158" spans="12:14">
      <c r="L158" s="32"/>
      <c r="N158" s="20"/>
    </row>
    <row r="159" spans="12:14">
      <c r="L159" s="32"/>
      <c r="N159" s="20"/>
    </row>
    <row r="160" spans="12:14">
      <c r="L160" s="32"/>
      <c r="N160" s="20"/>
    </row>
    <row r="161" spans="12:14">
      <c r="L161" s="32"/>
      <c r="N161" s="20"/>
    </row>
    <row r="162" spans="12:14">
      <c r="L162" s="32"/>
      <c r="N162" s="20"/>
    </row>
    <row r="163" spans="12:14">
      <c r="L163" s="32"/>
      <c r="N163" s="20"/>
    </row>
    <row r="164" spans="12:14">
      <c r="L164" s="32"/>
      <c r="N164" s="20"/>
    </row>
    <row r="165" spans="12:14">
      <c r="L165" s="32"/>
      <c r="N165" s="20"/>
    </row>
    <row r="166" spans="12:14">
      <c r="L166" s="32"/>
      <c r="N166" s="20"/>
    </row>
    <row r="167" spans="12:14">
      <c r="L167" s="32"/>
      <c r="N167" s="20"/>
    </row>
    <row r="168" spans="12:14">
      <c r="L168" s="32"/>
      <c r="N168" s="20"/>
    </row>
    <row r="169" spans="12:14">
      <c r="L169" s="32"/>
      <c r="N169" s="20"/>
    </row>
    <row r="170" spans="12:14">
      <c r="L170" s="32"/>
      <c r="N170" s="20"/>
    </row>
    <row r="171" spans="12:14">
      <c r="L171" s="32"/>
      <c r="N171" s="20"/>
    </row>
    <row r="172" spans="12:14">
      <c r="L172" s="32"/>
      <c r="N172" s="20"/>
    </row>
    <row r="173" spans="12:14">
      <c r="L173" s="32"/>
      <c r="N173" s="20"/>
    </row>
    <row r="174" spans="12:14">
      <c r="L174" s="32"/>
      <c r="N174" s="20"/>
    </row>
    <row r="175" spans="12:14">
      <c r="L175" s="32"/>
      <c r="N175" s="20"/>
    </row>
    <row r="176" spans="12:14">
      <c r="L176" s="32"/>
      <c r="N176" s="20"/>
    </row>
    <row r="177" spans="12:14">
      <c r="L177" s="32"/>
      <c r="N177" s="20"/>
    </row>
    <row r="178" spans="12:14">
      <c r="L178" s="32"/>
      <c r="N178" s="20"/>
    </row>
    <row r="179" spans="12:14">
      <c r="L179" s="32"/>
      <c r="N179" s="20"/>
    </row>
    <row r="180" spans="12:14">
      <c r="L180" s="32"/>
      <c r="N180" s="20"/>
    </row>
    <row r="181" spans="12:14">
      <c r="L181" s="32"/>
      <c r="N181" s="20"/>
    </row>
    <row r="182" spans="12:14">
      <c r="L182" s="32"/>
      <c r="N182" s="20"/>
    </row>
    <row r="183" spans="12:14">
      <c r="L183" s="32"/>
      <c r="N183" s="20"/>
    </row>
    <row r="184" spans="12:14">
      <c r="L184" s="32"/>
      <c r="N184" s="20"/>
    </row>
    <row r="185" spans="12:14">
      <c r="L185" s="32"/>
      <c r="N185" s="20"/>
    </row>
    <row r="186" spans="12:14">
      <c r="L186" s="32"/>
      <c r="N186" s="20"/>
    </row>
    <row r="187" spans="12:14">
      <c r="L187" s="32"/>
      <c r="N187" s="20"/>
    </row>
    <row r="188" spans="12:14">
      <c r="L188" s="32"/>
      <c r="N188" s="20"/>
    </row>
    <row r="189" spans="12:14">
      <c r="L189" s="32"/>
      <c r="N189" s="20"/>
    </row>
    <row r="190" spans="12:14">
      <c r="L190" s="32"/>
      <c r="N190" s="20"/>
    </row>
    <row r="191" spans="12:14">
      <c r="L191" s="32"/>
      <c r="N191" s="20"/>
    </row>
    <row r="192" spans="12:14">
      <c r="L192" s="32"/>
      <c r="N192" s="20"/>
    </row>
    <row r="193" spans="12:14">
      <c r="L193" s="32"/>
      <c r="N193" s="20"/>
    </row>
    <row r="194" spans="12:14">
      <c r="L194" s="32"/>
      <c r="N194" s="20"/>
    </row>
    <row r="195" spans="12:14">
      <c r="L195" s="32"/>
      <c r="N195" s="20"/>
    </row>
    <row r="196" spans="12:14">
      <c r="L196" s="32"/>
      <c r="N196" s="20"/>
    </row>
    <row r="197" spans="12:14">
      <c r="L197" s="32"/>
      <c r="N197" s="20"/>
    </row>
    <row r="198" spans="12:14">
      <c r="L198" s="32"/>
      <c r="N198" s="20"/>
    </row>
    <row r="199" spans="12:14">
      <c r="L199" s="32"/>
      <c r="N199" s="20"/>
    </row>
    <row r="200" spans="12:14">
      <c r="L200" s="32"/>
      <c r="N200" s="20"/>
    </row>
    <row r="201" spans="12:14">
      <c r="L201" s="32"/>
      <c r="N201" s="20"/>
    </row>
    <row r="202" spans="12:14">
      <c r="L202" s="32"/>
      <c r="N202" s="20"/>
    </row>
    <row r="203" spans="12:14">
      <c r="L203" s="32"/>
      <c r="N203" s="20"/>
    </row>
    <row r="204" spans="12:14">
      <c r="L204" s="32"/>
      <c r="N204" s="20"/>
    </row>
    <row r="205" spans="12:14">
      <c r="L205" s="32"/>
      <c r="N205" s="20"/>
    </row>
    <row r="206" spans="12:14">
      <c r="L206" s="32"/>
      <c r="N206" s="20"/>
    </row>
    <row r="207" spans="12:14">
      <c r="L207" s="32"/>
      <c r="N207" s="20"/>
    </row>
    <row r="208" spans="12:14">
      <c r="L208" s="32"/>
      <c r="N208" s="20"/>
    </row>
    <row r="209" spans="12:14">
      <c r="L209" s="32"/>
      <c r="N209" s="20"/>
    </row>
    <row r="210" spans="12:14">
      <c r="L210" s="32"/>
      <c r="N210" s="20"/>
    </row>
    <row r="211" spans="12:14">
      <c r="L211" s="32"/>
      <c r="N211" s="20"/>
    </row>
    <row r="212" spans="12:14">
      <c r="L212" s="32"/>
      <c r="N212" s="20"/>
    </row>
    <row r="213" spans="12:14">
      <c r="L213" s="32"/>
      <c r="N213" s="20"/>
    </row>
    <row r="214" spans="12:14">
      <c r="L214" s="32"/>
      <c r="N214" s="20"/>
    </row>
    <row r="215" spans="12:14">
      <c r="L215" s="32"/>
      <c r="N215" s="20"/>
    </row>
    <row r="216" spans="12:14">
      <c r="L216" s="32"/>
      <c r="N216" s="20"/>
    </row>
    <row r="217" spans="12:14">
      <c r="L217" s="32"/>
      <c r="N217" s="20"/>
    </row>
    <row r="218" spans="12:14">
      <c r="L218" s="32"/>
      <c r="N218" s="20"/>
    </row>
    <row r="219" spans="12:14">
      <c r="L219" s="32"/>
      <c r="N219" s="20"/>
    </row>
    <row r="220" spans="12:14">
      <c r="L220" s="32"/>
      <c r="N220" s="20"/>
    </row>
    <row r="221" spans="12:14">
      <c r="L221" s="32"/>
      <c r="N221" s="20"/>
    </row>
    <row r="222" spans="12:14">
      <c r="L222" s="32"/>
      <c r="N222" s="20"/>
    </row>
    <row r="223" spans="12:14">
      <c r="L223" s="32"/>
      <c r="N223" s="20"/>
    </row>
    <row r="224" spans="12:14">
      <c r="L224" s="32"/>
      <c r="N224" s="20"/>
    </row>
    <row r="225" spans="12:14">
      <c r="L225" s="32"/>
      <c r="N225" s="20"/>
    </row>
    <row r="226" spans="12:14">
      <c r="L226" s="32"/>
      <c r="N226" s="20"/>
    </row>
    <row r="227" spans="12:14">
      <c r="L227" s="32"/>
      <c r="N227" s="20"/>
    </row>
    <row r="228" spans="12:14">
      <c r="L228" s="32"/>
      <c r="N228" s="20"/>
    </row>
    <row r="229" spans="12:14">
      <c r="L229" s="32"/>
      <c r="N229" s="20"/>
    </row>
    <row r="230" spans="12:14">
      <c r="L230" s="32"/>
      <c r="N230" s="20"/>
    </row>
    <row r="231" spans="12:14">
      <c r="L231" s="32"/>
      <c r="N231" s="20"/>
    </row>
    <row r="232" spans="12:14">
      <c r="L232" s="32"/>
      <c r="N232" s="20"/>
    </row>
    <row r="233" spans="12:14">
      <c r="L233" s="32"/>
      <c r="N233" s="20"/>
    </row>
    <row r="234" spans="12:14">
      <c r="L234" s="32"/>
      <c r="N234" s="20"/>
    </row>
    <row r="235" spans="12:14">
      <c r="L235" s="32"/>
      <c r="N235" s="20"/>
    </row>
    <row r="236" spans="12:14">
      <c r="L236" s="32"/>
      <c r="N236" s="20"/>
    </row>
    <row r="237" spans="12:14">
      <c r="L237" s="32"/>
      <c r="N237" s="20"/>
    </row>
    <row r="238" spans="12:14">
      <c r="L238" s="32"/>
      <c r="N238" s="20"/>
    </row>
    <row r="239" spans="12:14">
      <c r="L239" s="32"/>
      <c r="N239" s="20"/>
    </row>
    <row r="240" spans="12:14">
      <c r="L240" s="32"/>
      <c r="N240" s="20"/>
    </row>
    <row r="241" spans="12:14">
      <c r="L241" s="32"/>
      <c r="N241" s="20"/>
    </row>
    <row r="242" spans="12:14">
      <c r="L242" s="32"/>
      <c r="N242" s="20"/>
    </row>
    <row r="243" spans="12:14">
      <c r="L243" s="32"/>
      <c r="N243" s="20"/>
    </row>
    <row r="244" spans="12:14">
      <c r="L244" s="32"/>
      <c r="N244" s="20"/>
    </row>
    <row r="245" spans="12:14">
      <c r="L245" s="32"/>
      <c r="N245" s="20"/>
    </row>
    <row r="246" spans="12:14">
      <c r="L246" s="32"/>
      <c r="N246" s="20"/>
    </row>
    <row r="247" spans="12:14">
      <c r="L247" s="32"/>
      <c r="N247" s="20"/>
    </row>
    <row r="248" spans="12:14">
      <c r="L248" s="32"/>
      <c r="N248" s="20"/>
    </row>
    <row r="249" spans="12:14">
      <c r="L249" s="32"/>
      <c r="N249" s="20"/>
    </row>
    <row r="250" spans="12:14">
      <c r="L250" s="32"/>
      <c r="N250" s="20"/>
    </row>
    <row r="251" spans="12:14">
      <c r="L251" s="32"/>
      <c r="N251" s="20"/>
    </row>
    <row r="252" spans="12:14">
      <c r="L252" s="32"/>
      <c r="N252" s="20"/>
    </row>
    <row r="253" spans="12:14">
      <c r="L253" s="32"/>
      <c r="N253" s="20"/>
    </row>
    <row r="254" spans="12:14">
      <c r="L254" s="32"/>
      <c r="N254" s="20"/>
    </row>
    <row r="255" spans="12:14">
      <c r="L255" s="32"/>
      <c r="N255" s="20"/>
    </row>
    <row r="256" spans="12:14">
      <c r="L256" s="32"/>
      <c r="N256" s="20"/>
    </row>
    <row r="257" spans="12:14">
      <c r="L257" s="32"/>
      <c r="N257" s="20"/>
    </row>
    <row r="258" spans="12:14">
      <c r="L258" s="32"/>
      <c r="N258" s="20"/>
    </row>
    <row r="259" spans="12:14">
      <c r="L259" s="32"/>
      <c r="N259" s="20"/>
    </row>
    <row r="260" spans="12:14">
      <c r="L260" s="32"/>
      <c r="N260" s="20"/>
    </row>
    <row r="261" spans="12:14">
      <c r="L261" s="32"/>
      <c r="N261" s="20"/>
    </row>
    <row r="262" spans="12:14">
      <c r="L262" s="32"/>
      <c r="N262" s="20"/>
    </row>
    <row r="263" spans="12:14">
      <c r="L263" s="32"/>
      <c r="N263" s="20"/>
    </row>
    <row r="264" spans="12:14">
      <c r="L264" s="32"/>
      <c r="N264" s="20"/>
    </row>
    <row r="265" spans="12:14">
      <c r="L265" s="32"/>
      <c r="N265" s="20"/>
    </row>
    <row r="266" spans="12:14">
      <c r="L266" s="32"/>
      <c r="N266" s="20"/>
    </row>
    <row r="267" spans="12:14">
      <c r="L267" s="32"/>
      <c r="N267" s="20"/>
    </row>
    <row r="268" spans="12:14">
      <c r="L268" s="32"/>
      <c r="N268" s="20"/>
    </row>
    <row r="269" spans="12:14">
      <c r="L269" s="32"/>
      <c r="N269" s="20"/>
    </row>
    <row r="270" spans="12:14">
      <c r="L270" s="32"/>
      <c r="N270" s="20"/>
    </row>
    <row r="271" spans="12:14">
      <c r="L271" s="32"/>
      <c r="N271" s="20"/>
    </row>
    <row r="272" spans="12:14">
      <c r="L272" s="32"/>
      <c r="N272" s="20"/>
    </row>
    <row r="273" spans="12:14">
      <c r="L273" s="32"/>
      <c r="N273" s="20"/>
    </row>
    <row r="274" spans="12:14">
      <c r="L274" s="32"/>
      <c r="N274" s="20"/>
    </row>
    <row r="275" spans="12:14">
      <c r="L275" s="32"/>
      <c r="N275" s="20"/>
    </row>
    <row r="276" spans="12:14">
      <c r="L276" s="32"/>
      <c r="N276" s="20"/>
    </row>
    <row r="277" spans="12:14">
      <c r="L277" s="32"/>
      <c r="N277" s="20"/>
    </row>
    <row r="278" spans="12:14">
      <c r="L278" s="32"/>
      <c r="N278" s="20"/>
    </row>
    <row r="279" spans="12:14">
      <c r="L279" s="32"/>
      <c r="N279" s="20"/>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79"/>
  <sheetViews>
    <sheetView zoomScale="85" zoomScaleNormal="85" workbookViewId="0"/>
    <sheetView workbookViewId="1"/>
  </sheetViews>
  <sheetFormatPr defaultColWidth="9.140625" defaultRowHeight="15"/>
  <cols>
    <col min="1" max="1" width="1.7109375" customWidth="1"/>
    <col min="2" max="2" width="30.5703125" customWidth="1"/>
    <col min="3" max="3" width="16" style="115" bestFit="1" customWidth="1"/>
    <col min="4" max="4" width="1.7109375" customWidth="1"/>
    <col min="5" max="8" width="26.57031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22" t="s">
        <v>1735</v>
      </c>
      <c r="C2" s="403"/>
      <c r="D2" s="12"/>
      <c r="E2" s="12"/>
      <c r="F2" s="12"/>
      <c r="G2" s="12"/>
      <c r="H2" s="12"/>
      <c r="I2" s="12"/>
      <c r="J2" s="12"/>
      <c r="K2" s="12"/>
      <c r="L2" s="12"/>
      <c r="M2" s="12"/>
      <c r="N2" s="12"/>
    </row>
    <row r="3" spans="1:52" ht="15.75" thickTop="1">
      <c r="R3" s="574" t="s">
        <v>10511</v>
      </c>
      <c r="AY3" s="574" t="s">
        <v>4318</v>
      </c>
    </row>
    <row r="4" spans="1:52">
      <c r="A4" t="s">
        <v>555</v>
      </c>
      <c r="B4" s="407" t="s">
        <v>2529</v>
      </c>
      <c r="C4" s="404"/>
      <c r="D4" t="s">
        <v>555</v>
      </c>
      <c r="E4" s="132" t="s">
        <v>116</v>
      </c>
      <c r="F4" s="132"/>
      <c r="G4" s="132"/>
      <c r="H4" s="132"/>
      <c r="J4" s="132" t="s">
        <v>1757</v>
      </c>
      <c r="K4" s="132"/>
      <c r="L4" s="132"/>
      <c r="M4" s="132"/>
      <c r="N4" s="132"/>
      <c r="P4" s="407" t="s">
        <v>3282</v>
      </c>
      <c r="Q4" s="407"/>
      <c r="R4" s="420" t="s">
        <v>3310</v>
      </c>
      <c r="S4" s="420" t="s">
        <v>3311</v>
      </c>
      <c r="T4" s="132"/>
    </row>
    <row r="5" spans="1:52">
      <c r="P5" s="421" t="s">
        <v>1643</v>
      </c>
      <c r="Q5" s="424">
        <v>1</v>
      </c>
      <c r="R5" s="573" t="s">
        <v>10499</v>
      </c>
      <c r="S5" s="573" t="s">
        <v>10505</v>
      </c>
      <c r="AY5" s="573" t="s">
        <v>4317</v>
      </c>
      <c r="AZ5" s="573" t="s">
        <v>4321</v>
      </c>
    </row>
    <row r="6" spans="1:52">
      <c r="B6" s="402" t="s">
        <v>10584</v>
      </c>
      <c r="C6" s="405"/>
      <c r="G6" s="922" t="s">
        <v>2515</v>
      </c>
      <c r="H6" s="922"/>
      <c r="P6" s="421" t="s">
        <v>3283</v>
      </c>
      <c r="Q6" s="424">
        <v>2</v>
      </c>
      <c r="R6" s="573" t="s">
        <v>10500</v>
      </c>
      <c r="S6" s="573" t="s">
        <v>10506</v>
      </c>
      <c r="AY6" s="573" t="s">
        <v>4319</v>
      </c>
      <c r="AZ6" s="573" t="s">
        <v>4322</v>
      </c>
    </row>
    <row r="7" spans="1:52">
      <c r="B7" t="s">
        <v>2523</v>
      </c>
      <c r="C7" s="115">
        <f ca="1">MontoFinanciarAuto</f>
        <v>225000</v>
      </c>
      <c r="G7" s="393" t="s">
        <v>2516</v>
      </c>
      <c r="H7" s="137">
        <v>1</v>
      </c>
      <c r="P7" s="421" t="s">
        <v>1645</v>
      </c>
      <c r="Q7" s="424">
        <v>3</v>
      </c>
      <c r="R7" s="573" t="s">
        <v>10501</v>
      </c>
      <c r="S7" s="573" t="s">
        <v>10507</v>
      </c>
      <c r="AY7" s="573" t="s">
        <v>4320</v>
      </c>
      <c r="AZ7" s="573" t="s">
        <v>4323</v>
      </c>
    </row>
    <row r="8" spans="1:52">
      <c r="B8" t="s">
        <v>2524</v>
      </c>
      <c r="C8" s="115">
        <f ca="1">MontoFinanciarVida</f>
        <v>0</v>
      </c>
      <c r="G8" s="394" t="s">
        <v>2517</v>
      </c>
      <c r="H8" s="78">
        <v>0</v>
      </c>
      <c r="P8" s="422" t="str">
        <f>SELECCION_TIPO_PERSONA</f>
        <v>Física</v>
      </c>
      <c r="Q8" s="423">
        <f ca="1">ID_TIPO_PERSONA</f>
        <v>1</v>
      </c>
      <c r="R8" s="412"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412"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701" t="s">
        <v>10590</v>
      </c>
      <c r="C9" s="115">
        <f ca="1">MontoFinanciarSeguros - MontoFinanciarVida</f>
        <v>0</v>
      </c>
      <c r="G9" s="395" t="s">
        <v>2518</v>
      </c>
      <c r="H9" s="396">
        <f ca="1">IF(SeguroEsFinanciado?,FactorRenovacionAnualFinanciado,FactorRenovacionAnualContado)</f>
        <v>1</v>
      </c>
    </row>
    <row r="10" spans="1:52">
      <c r="H10" s="400" t="str">
        <f>CONCATENATE("[",SELECCION_CALCULO_SEGURO,"]")</f>
        <v>[Anual Contado]</v>
      </c>
      <c r="M10" s="2" t="s">
        <v>1736</v>
      </c>
      <c r="N10" s="125">
        <f ca="1" xml:space="preserve"> IF(SUM(_Flujos.CAT)=0, 0, IRR(_Flujos.CAT,0))</f>
        <v>2.344653608852023E-2</v>
      </c>
      <c r="R10" s="558" t="s">
        <v>4278</v>
      </c>
    </row>
    <row r="11" spans="1:52">
      <c r="B11" s="401" t="s">
        <v>2527</v>
      </c>
      <c r="C11" s="406">
        <f ca="1">SUM(C7:C10)</f>
        <v>225000</v>
      </c>
      <c r="M11" s="2" t="s">
        <v>1737</v>
      </c>
      <c r="N11" s="408">
        <f ca="1" xml:space="preserve"> IntEfectivoPropia( TIR.Flujos*PeriodosPorAño, PeriodosPorAño )</f>
        <v>0.3206323313179702</v>
      </c>
    </row>
    <row r="12" spans="1:52" ht="15" customHeight="1">
      <c r="N12" s="340"/>
      <c r="R12" s="401" t="s">
        <v>4351</v>
      </c>
      <c r="S12" s="401" t="s">
        <v>4352</v>
      </c>
    </row>
    <row r="13" spans="1:52">
      <c r="B13" s="402" t="s">
        <v>10583</v>
      </c>
      <c r="C13" s="405"/>
      <c r="R13" s="569" t="s">
        <v>4350</v>
      </c>
      <c r="S13" s="569" t="s">
        <v>4350</v>
      </c>
    </row>
    <row r="14" spans="1:52">
      <c r="B14" t="s">
        <v>110</v>
      </c>
      <c r="C14" s="115">
        <f ca="1">Total.Egresos.CAT * CapturaPorcentajeComisionApertura</f>
        <v>5625</v>
      </c>
      <c r="R14" s="573" t="s">
        <v>10499</v>
      </c>
      <c r="S14" s="573" t="s">
        <v>10505</v>
      </c>
    </row>
    <row r="15" spans="1:52" ht="15" customHeight="1">
      <c r="B15" t="s">
        <v>2525</v>
      </c>
      <c r="C15" s="115">
        <f ca="1">PrimaVida</f>
        <v>1436.75</v>
      </c>
      <c r="E15" s="304" t="s">
        <v>113</v>
      </c>
      <c r="F15" s="304" t="s">
        <v>114</v>
      </c>
      <c r="G15" s="304" t="s">
        <v>115</v>
      </c>
      <c r="H15" s="304" t="s">
        <v>2519</v>
      </c>
      <c r="M15" s="923" t="s">
        <v>2530</v>
      </c>
      <c r="N15" s="923"/>
      <c r="R15" s="573" t="s">
        <v>10500</v>
      </c>
      <c r="S15" s="573" t="s">
        <v>10506</v>
      </c>
    </row>
    <row r="16" spans="1:52">
      <c r="B16" s="701" t="s">
        <v>10590</v>
      </c>
      <c r="C16" s="115">
        <f ca="1">PrimaDaños</f>
        <v>9987.9948812500006</v>
      </c>
      <c r="R16" s="573" t="s">
        <v>10501</v>
      </c>
      <c r="S16" s="573" t="s">
        <v>10507</v>
      </c>
    </row>
    <row r="17" spans="2:19">
      <c r="E17" s="31" t="s">
        <v>108</v>
      </c>
      <c r="F17" s="397" t="s">
        <v>2520</v>
      </c>
      <c r="G17" s="398" t="s">
        <v>2520</v>
      </c>
      <c r="H17" s="398" t="s">
        <v>2514</v>
      </c>
      <c r="I17" t="s">
        <v>555</v>
      </c>
      <c r="J17" s="2" t="s">
        <v>1740</v>
      </c>
      <c r="K17" s="2" t="s">
        <v>1739</v>
      </c>
      <c r="L17" t="s">
        <v>555</v>
      </c>
      <c r="M17" s="126" t="s">
        <v>1738</v>
      </c>
      <c r="N17" s="134">
        <f ca="1">SUM(M19:M79)</f>
        <v>2.7723217499442399E-8</v>
      </c>
    </row>
    <row r="18" spans="2:19" ht="15" customHeight="1">
      <c r="B18" s="401" t="s">
        <v>2528</v>
      </c>
      <c r="C18" s="406">
        <f ca="1">SUM(C14:C17)</f>
        <v>17049.744881250001</v>
      </c>
      <c r="E18" s="303"/>
      <c r="F18" s="399" t="s">
        <v>2521</v>
      </c>
      <c r="G18" s="399" t="s">
        <v>2522</v>
      </c>
      <c r="H18" s="399" t="s">
        <v>2522</v>
      </c>
      <c r="R18" s="653" t="s">
        <v>4353</v>
      </c>
      <c r="S18" s="569" t="s">
        <v>4353</v>
      </c>
    </row>
    <row r="19" spans="2:19">
      <c r="J19" s="131">
        <v>0</v>
      </c>
      <c r="K19" s="123">
        <f ca="1">Total.Flujo.Cero.CAT</f>
        <v>-207950.25511875001</v>
      </c>
      <c r="L19" s="123"/>
      <c r="M19" s="123">
        <f ca="1">+_Flujos.CAT/(1+CAT)^(_Num.Flujo/PeriodosPorAño)</f>
        <v>-207950.25511875001</v>
      </c>
      <c r="R19" s="573" t="s">
        <v>10514</v>
      </c>
      <c r="S19" s="573" t="s">
        <v>10517</v>
      </c>
    </row>
    <row r="20" spans="2:19">
      <c r="B20" s="402" t="s">
        <v>2526</v>
      </c>
      <c r="C20" s="405">
        <f ca="1">Total.Ingresos.CAT - Total.Egresos.CAT</f>
        <v>-207950.25511875001</v>
      </c>
      <c r="E20" s="130">
        <f ca="1">T_SoloAuto!_Pago_CAT</f>
        <v>19959.310282269293</v>
      </c>
      <c r="F20" s="130">
        <f ca="1">T_VidaMulti!_Pago_CAT</f>
        <v>0</v>
      </c>
      <c r="G20" s="130">
        <f ca="1">T_VidaAnual!_Pago_CAT</f>
        <v>0</v>
      </c>
      <c r="H20" s="130">
        <f ca="1">T_RenovVidaAnual!_Saldo_Renov_Anual * FactorRenovacionAnual</f>
        <v>0</v>
      </c>
      <c r="J20" s="131">
        <v>1</v>
      </c>
      <c r="K20" s="124">
        <f ca="1">SUM(_Componentes_CAT _Actual)</f>
        <v>19959.310282269293</v>
      </c>
      <c r="L20" s="123"/>
      <c r="M20" s="123">
        <f t="shared" ref="M20:M50" ca="1" si="0">+_Flujos.CAT/(1+CAT)^(_Num.Flujo/PeriodosPorAño)</f>
        <v>19502.054654023435</v>
      </c>
      <c r="R20" s="573" t="s">
        <v>10515</v>
      </c>
      <c r="S20" s="573" t="s">
        <v>10518</v>
      </c>
    </row>
    <row r="21" spans="2:19">
      <c r="E21" s="130">
        <f ca="1">T_SoloAuto!_Pago_CAT</f>
        <v>19981.937605033418</v>
      </c>
      <c r="F21" s="130">
        <f ca="1">T_VidaMulti!_Pago_CAT</f>
        <v>0</v>
      </c>
      <c r="G21" s="130">
        <f ca="1">T_VidaAnual!_Pago_CAT</f>
        <v>0</v>
      </c>
      <c r="H21" s="130">
        <f ca="1">T_RenovVidaAnual!_Saldo_Renov_Anual * FactorRenovacionAnual</f>
        <v>0</v>
      </c>
      <c r="J21" s="131">
        <v>2</v>
      </c>
      <c r="K21" s="124">
        <f ca="1">SUM(_Componentes_CAT _Actual)</f>
        <v>19981.937605033418</v>
      </c>
      <c r="L21" s="123"/>
      <c r="M21" s="123">
        <f t="shared" ca="1" si="0"/>
        <v>19076.876915563182</v>
      </c>
      <c r="R21" s="573" t="s">
        <v>10516</v>
      </c>
      <c r="S21" s="573" t="s">
        <v>10519</v>
      </c>
    </row>
    <row r="22" spans="2:19">
      <c r="E22" s="130">
        <f ca="1">T_SoloAuto!_Pago_CAT</f>
        <v>20004.837360763628</v>
      </c>
      <c r="F22" s="130">
        <f ca="1">T_VidaMulti!_Pago_CAT</f>
        <v>0</v>
      </c>
      <c r="G22" s="130">
        <f ca="1">T_VidaAnual!_Pago_CAT</f>
        <v>0</v>
      </c>
      <c r="H22" s="130">
        <f ca="1">T_RenovVidaAnual!_Saldo_Renov_Anual * FactorRenovacionAnual</f>
        <v>0</v>
      </c>
      <c r="J22" s="131">
        <v>3</v>
      </c>
      <c r="K22" s="124">
        <f ca="1">SUM(_Componentes_CAT _Actual)</f>
        <v>20004.837360763628</v>
      </c>
      <c r="L22" s="123"/>
      <c r="M22" s="123">
        <f t="shared" ca="1" si="0"/>
        <v>18661.198975880834</v>
      </c>
    </row>
    <row r="23" spans="2:19">
      <c r="E23" s="130">
        <f ca="1">T_SoloAuto!_Pago_CAT</f>
        <v>20028.012829552827</v>
      </c>
      <c r="F23" s="130">
        <f ca="1">T_VidaMulti!_Pago_CAT</f>
        <v>0</v>
      </c>
      <c r="G23" s="130">
        <f ca="1">T_VidaAnual!_Pago_CAT</f>
        <v>0</v>
      </c>
      <c r="H23" s="130">
        <f ca="1">T_RenovVidaAnual!_Saldo_Renov_Anual * FactorRenovacionAnual</f>
        <v>0</v>
      </c>
      <c r="J23" s="131">
        <v>4</v>
      </c>
      <c r="K23" s="124">
        <f ca="1">SUM(_Componentes_CAT _Actual)</f>
        <v>20028.012829552827</v>
      </c>
      <c r="L23" s="123"/>
      <c r="M23" s="123">
        <f t="shared" ca="1" si="0"/>
        <v>18254.805883746023</v>
      </c>
      <c r="R23" s="569" t="s">
        <v>4354</v>
      </c>
      <c r="S23" s="569" t="s">
        <v>4354</v>
      </c>
    </row>
    <row r="24" spans="2:19">
      <c r="E24" s="130">
        <f ca="1">T_SoloAuto!_Pago_CAT</f>
        <v>20051.467330986248</v>
      </c>
      <c r="F24" s="130">
        <f ca="1">T_VidaMulti!_Pago_CAT</f>
        <v>0</v>
      </c>
      <c r="G24" s="130">
        <f ca="1">T_VidaAnual!_Pago_CAT</f>
        <v>0</v>
      </c>
      <c r="H24" s="130">
        <f ca="1">T_RenovVidaAnual!_Saldo_Renov_Anual * FactorRenovacionAnual</f>
        <v>0</v>
      </c>
      <c r="J24" s="131">
        <v>5</v>
      </c>
      <c r="K24" s="124">
        <f ca="1">SUM(_Componentes_CAT _Actual)</f>
        <v>20051.467330986248</v>
      </c>
      <c r="L24" s="123"/>
      <c r="M24" s="123">
        <f t="shared" ca="1" si="0"/>
        <v>17857.487582423306</v>
      </c>
      <c r="R24" s="573" t="s">
        <v>10502</v>
      </c>
      <c r="S24" s="573" t="s">
        <v>10508</v>
      </c>
    </row>
    <row r="25" spans="2:19">
      <c r="E25" s="130">
        <f ca="1">T_SoloAuto!_Pago_CAT</f>
        <v>20075.204224616929</v>
      </c>
      <c r="F25" s="130">
        <f ca="1">T_VidaMulti!_Pago_CAT</f>
        <v>0</v>
      </c>
      <c r="G25" s="130">
        <f ca="1">T_VidaAnual!_Pago_CAT</f>
        <v>0</v>
      </c>
      <c r="H25" s="130">
        <f ca="1">T_RenovVidaAnual!_Saldo_Renov_Anual * FactorRenovacionAnual</f>
        <v>0</v>
      </c>
      <c r="J25" s="131">
        <v>6</v>
      </c>
      <c r="K25" s="124">
        <f ca="1">SUM(_Componentes_CAT _Actual)</f>
        <v>20075.204224616929</v>
      </c>
      <c r="L25" s="123"/>
      <c r="M25" s="123">
        <f t="shared" ca="1" si="0"/>
        <v>17469.038797875561</v>
      </c>
      <c r="R25" s="573" t="s">
        <v>10503</v>
      </c>
      <c r="S25" s="573" t="s">
        <v>10509</v>
      </c>
    </row>
    <row r="26" spans="2:19">
      <c r="E26" s="130">
        <f ca="1">T_SoloAuto!_Pago_CAT</f>
        <v>20099.22691044692</v>
      </c>
      <c r="F26" s="130">
        <f ca="1">T_VidaMulti!_Pago_CAT</f>
        <v>0</v>
      </c>
      <c r="G26" s="130">
        <f ca="1">T_VidaAnual!_Pago_CAT</f>
        <v>0</v>
      </c>
      <c r="H26" s="130">
        <f ca="1">T_RenovVidaAnual!_Saldo_Renov_Anual * FactorRenovacionAnual</f>
        <v>0</v>
      </c>
      <c r="J26" s="131">
        <v>7</v>
      </c>
      <c r="K26" s="124">
        <f ca="1">SUM(_Componentes_CAT _Actual)</f>
        <v>20099.22691044692</v>
      </c>
      <c r="L26" s="123"/>
      <c r="M26" s="123">
        <f t="shared" ca="1" si="0"/>
        <v>17089.258929524891</v>
      </c>
      <c r="R26" s="573" t="s">
        <v>10504</v>
      </c>
      <c r="S26" s="573" t="s">
        <v>10510</v>
      </c>
    </row>
    <row r="27" spans="2:19">
      <c r="E27" s="130">
        <f ca="1">T_SoloAuto!_Pago_CAT</f>
        <v>20123.538829414309</v>
      </c>
      <c r="F27" s="130">
        <f ca="1">T_VidaMulti!_Pago_CAT</f>
        <v>0</v>
      </c>
      <c r="G27" s="130">
        <f ca="1">T_VidaAnual!_Pago_CAT</f>
        <v>0</v>
      </c>
      <c r="H27" s="130">
        <f ca="1">T_RenovVidaAnual!_Saldo_Renov_Anual * FactorRenovacionAnual</f>
        <v>0</v>
      </c>
      <c r="J27" s="131">
        <v>8</v>
      </c>
      <c r="K27" s="124">
        <f ca="1">SUM(_Componentes_CAT _Actual)</f>
        <v>20123.538829414309</v>
      </c>
      <c r="L27" s="123"/>
      <c r="M27" s="123">
        <f t="shared" ca="1" si="0"/>
        <v>16717.951943512464</v>
      </c>
    </row>
    <row r="28" spans="2:19">
      <c r="E28" s="130">
        <f ca="1">T_SoloAuto!_Pago_CAT</f>
        <v>20148.143463886059</v>
      </c>
      <c r="F28" s="130">
        <f ca="1">T_VidaMulti!_Pago_CAT</f>
        <v>0</v>
      </c>
      <c r="G28" s="130">
        <f ca="1">T_VidaAnual!_Pago_CAT</f>
        <v>0</v>
      </c>
      <c r="H28" s="130">
        <f ca="1">T_RenovVidaAnual!_Saldo_Renov_Anual * FactorRenovacionAnual</f>
        <v>0</v>
      </c>
      <c r="J28" s="131">
        <v>9</v>
      </c>
      <c r="K28" s="124">
        <f ca="1">SUM(_Componentes_CAT _Actual)</f>
        <v>20148.143463886059</v>
      </c>
      <c r="L28" s="123"/>
      <c r="M28" s="123">
        <f t="shared" ca="1" si="0"/>
        <v>16354.926268400033</v>
      </c>
      <c r="R28" s="573"/>
      <c r="S28" s="573"/>
    </row>
    <row r="29" spans="2:19">
      <c r="E29" s="130">
        <f ca="1">T_SoloAuto!_Pago_CAT</f>
        <v>20173.044338156851</v>
      </c>
      <c r="F29" s="130">
        <f ca="1">T_VidaMulti!_Pago_CAT</f>
        <v>0</v>
      </c>
      <c r="G29" s="130">
        <f ca="1">T_VidaAnual!_Pago_CAT</f>
        <v>0</v>
      </c>
      <c r="H29" s="130">
        <f ca="1">T_RenovVidaAnual!_Saldo_Renov_Anual * FactorRenovacionAnual</f>
        <v>0</v>
      </c>
      <c r="J29" s="131">
        <v>10</v>
      </c>
      <c r="K29" s="124">
        <f ca="1">SUM(_Componentes_CAT _Actual)</f>
        <v>20173.044338156851</v>
      </c>
      <c r="L29" s="123"/>
      <c r="M29" s="123">
        <f t="shared" ca="1" si="0"/>
        <v>15999.994693257335</v>
      </c>
      <c r="R29" s="573"/>
      <c r="S29" s="573"/>
    </row>
    <row r="30" spans="2:19">
      <c r="E30" s="130">
        <f ca="1">T_SoloAuto!_Pago_CAT</f>
        <v>20198.245018953869</v>
      </c>
      <c r="F30" s="130">
        <f ca="1">T_VidaMulti!_Pago_CAT</f>
        <v>0</v>
      </c>
      <c r="G30" s="130">
        <f ca="1">T_VidaAnual!_Pago_CAT</f>
        <v>0</v>
      </c>
      <c r="H30" s="130">
        <f ca="1">T_RenovVidaAnual!_Saldo_Renov_Anual * FactorRenovacionAnual</f>
        <v>0</v>
      </c>
      <c r="J30" s="131">
        <v>11</v>
      </c>
      <c r="K30" s="124">
        <f ca="1">SUM(_Componentes_CAT _Actual)</f>
        <v>20198.245018953869</v>
      </c>
      <c r="L30" s="123"/>
      <c r="M30" s="123">
        <f t="shared" ca="1" si="0"/>
        <v>15652.974268080648</v>
      </c>
      <c r="R30" s="573"/>
      <c r="S30" s="573"/>
    </row>
    <row r="31" spans="2:19">
      <c r="E31" s="130">
        <f ca="1">T_SoloAuto!_Pago_CAT</f>
        <v>20223.749115948754</v>
      </c>
      <c r="F31" s="130">
        <f ca="1">T_VidaMulti!_Pago_CAT</f>
        <v>0</v>
      </c>
      <c r="G31" s="130">
        <f ca="1">T_VidaAnual!_Pago_CAT</f>
        <v>0</v>
      </c>
      <c r="H31" s="130">
        <f ca="1">T_RenovVidaAnual!_Saldo_Renov_Anual * FactorRenovacionAnual</f>
        <v>0</v>
      </c>
      <c r="J31" s="131">
        <v>12</v>
      </c>
      <c r="K31" s="124">
        <f ca="1">SUM(_Componentes_CAT _Actual)</f>
        <v>20223.749115948754</v>
      </c>
      <c r="L31" s="123"/>
      <c r="M31" s="123">
        <f t="shared" ca="1" si="0"/>
        <v>15313.686206490018</v>
      </c>
    </row>
    <row r="32" spans="2:19">
      <c r="E32" s="130">
        <f ca="1">T_SoloAuto!_Pago_CAT</f>
        <v>0</v>
      </c>
      <c r="F32" s="130">
        <f ca="1">T_VidaMulti!_Pago_CAT</f>
        <v>0</v>
      </c>
      <c r="G32" s="130">
        <f ca="1">T_VidaAnual!_Pago_CAT</f>
        <v>0</v>
      </c>
      <c r="H32" s="130">
        <f ca="1">T_RenovVidaAnual!_Saldo_Renov_Anual * FactorRenovacionAnual</f>
        <v>0</v>
      </c>
      <c r="J32" s="131">
        <v>13</v>
      </c>
      <c r="K32" s="124">
        <f ca="1">SUM(_Componentes_CAT _Actual)</f>
        <v>0</v>
      </c>
      <c r="L32" s="123"/>
      <c r="M32" s="123">
        <f t="shared" ca="1" si="0"/>
        <v>0</v>
      </c>
    </row>
    <row r="33" spans="5:13">
      <c r="E33" s="130">
        <f ca="1">T_SoloAuto!_Pago_CAT</f>
        <v>0</v>
      </c>
      <c r="F33" s="130">
        <f ca="1">T_VidaMulti!_Pago_CAT</f>
        <v>0</v>
      </c>
      <c r="G33" s="130">
        <f ca="1">T_VidaAnual!_Pago_CAT</f>
        <v>0</v>
      </c>
      <c r="H33" s="130">
        <f ca="1">T_RenovVidaAnual!_Saldo_Renov_Anual * FactorRenovacionAnual</f>
        <v>0</v>
      </c>
      <c r="J33" s="131">
        <v>14</v>
      </c>
      <c r="K33" s="124">
        <f ca="1">SUM(_Componentes_CAT _Actual)</f>
        <v>0</v>
      </c>
      <c r="L33" s="123"/>
      <c r="M33" s="123">
        <f t="shared" ca="1" si="0"/>
        <v>0</v>
      </c>
    </row>
    <row r="34" spans="5:13">
      <c r="E34" s="130">
        <f ca="1">T_SoloAuto!_Pago_CAT</f>
        <v>0</v>
      </c>
      <c r="F34" s="130">
        <f ca="1">T_VidaMulti!_Pago_CAT</f>
        <v>0</v>
      </c>
      <c r="G34" s="130">
        <f ca="1">T_VidaAnual!_Pago_CAT</f>
        <v>0</v>
      </c>
      <c r="H34" s="130">
        <f ca="1">T_RenovVidaAnual!_Saldo_Renov_Anual * FactorRenovacionAnual</f>
        <v>0</v>
      </c>
      <c r="J34" s="131">
        <v>15</v>
      </c>
      <c r="K34" s="124">
        <f ca="1">SUM(_Componentes_CAT _Actual)</f>
        <v>0</v>
      </c>
      <c r="L34" s="123"/>
      <c r="M34" s="123">
        <f t="shared" ca="1" si="0"/>
        <v>0</v>
      </c>
    </row>
    <row r="35" spans="5:13">
      <c r="E35" s="130">
        <f ca="1">T_SoloAuto!_Pago_CAT</f>
        <v>0</v>
      </c>
      <c r="F35" s="130">
        <f ca="1">T_VidaMulti!_Pago_CAT</f>
        <v>0</v>
      </c>
      <c r="G35" s="130">
        <f ca="1">T_VidaAnual!_Pago_CAT</f>
        <v>0</v>
      </c>
      <c r="H35" s="130">
        <f ca="1">T_RenovVidaAnual!_Saldo_Renov_Anual * FactorRenovacionAnual</f>
        <v>0</v>
      </c>
      <c r="J35" s="131">
        <v>16</v>
      </c>
      <c r="K35" s="124">
        <f ca="1">SUM(_Componentes_CAT _Actual)</f>
        <v>0</v>
      </c>
      <c r="L35" s="123"/>
      <c r="M35" s="123">
        <f t="shared" ca="1" si="0"/>
        <v>0</v>
      </c>
    </row>
    <row r="36" spans="5:13">
      <c r="E36" s="130">
        <f ca="1">T_SoloAuto!_Pago_CAT</f>
        <v>0</v>
      </c>
      <c r="F36" s="130">
        <f ca="1">T_VidaMulti!_Pago_CAT</f>
        <v>0</v>
      </c>
      <c r="G36" s="130">
        <f ca="1">T_VidaAnual!_Pago_CAT</f>
        <v>0</v>
      </c>
      <c r="H36" s="130">
        <f ca="1">T_RenovVidaAnual!_Saldo_Renov_Anual * FactorRenovacionAnual</f>
        <v>0</v>
      </c>
      <c r="J36" s="131">
        <v>17</v>
      </c>
      <c r="K36" s="124">
        <f ca="1">SUM(_Componentes_CAT _Actual)</f>
        <v>0</v>
      </c>
      <c r="L36" s="123"/>
      <c r="M36" s="123">
        <f t="shared" ca="1" si="0"/>
        <v>0</v>
      </c>
    </row>
    <row r="37" spans="5:13">
      <c r="E37" s="130">
        <f ca="1">T_SoloAuto!_Pago_CAT</f>
        <v>0</v>
      </c>
      <c r="F37" s="130">
        <f ca="1">T_VidaMulti!_Pago_CAT</f>
        <v>0</v>
      </c>
      <c r="G37" s="130">
        <f ca="1">T_VidaAnual!_Pago_CAT</f>
        <v>0</v>
      </c>
      <c r="H37" s="130">
        <f ca="1">T_RenovVidaAnual!_Saldo_Renov_Anual * FactorRenovacionAnual</f>
        <v>0</v>
      </c>
      <c r="J37" s="131">
        <v>18</v>
      </c>
      <c r="K37" s="124">
        <f ca="1">SUM(_Componentes_CAT _Actual)</f>
        <v>0</v>
      </c>
      <c r="L37" s="123"/>
      <c r="M37" s="123">
        <f t="shared" ca="1" si="0"/>
        <v>0</v>
      </c>
    </row>
    <row r="38" spans="5:13">
      <c r="E38" s="130">
        <f ca="1">T_SoloAuto!_Pago_CAT</f>
        <v>0</v>
      </c>
      <c r="F38" s="130">
        <f ca="1">T_VidaMulti!_Pago_CAT</f>
        <v>0</v>
      </c>
      <c r="G38" s="130">
        <f ca="1">T_VidaAnual!_Pago_CAT</f>
        <v>0</v>
      </c>
      <c r="H38" s="130">
        <f ca="1">T_RenovVidaAnual!_Saldo_Renov_Anual * FactorRenovacionAnual</f>
        <v>0</v>
      </c>
      <c r="J38" s="131">
        <v>19</v>
      </c>
      <c r="K38" s="124">
        <f ca="1">SUM(_Componentes_CAT _Actual)</f>
        <v>0</v>
      </c>
      <c r="L38" s="123"/>
      <c r="M38" s="123">
        <f t="shared" ca="1" si="0"/>
        <v>0</v>
      </c>
    </row>
    <row r="39" spans="5:13">
      <c r="E39" s="130">
        <f ca="1">T_SoloAuto!_Pago_CAT</f>
        <v>0</v>
      </c>
      <c r="F39" s="130">
        <f ca="1">T_VidaMulti!_Pago_CAT</f>
        <v>0</v>
      </c>
      <c r="G39" s="130">
        <f ca="1">T_VidaAnual!_Pago_CAT</f>
        <v>0</v>
      </c>
      <c r="H39" s="130">
        <f ca="1">T_RenovVidaAnual!_Saldo_Renov_Anual * FactorRenovacionAnual</f>
        <v>0</v>
      </c>
      <c r="J39" s="131">
        <v>20</v>
      </c>
      <c r="K39" s="124">
        <f ca="1">SUM(_Componentes_CAT _Actual)</f>
        <v>0</v>
      </c>
      <c r="L39" s="123"/>
      <c r="M39" s="123">
        <f t="shared" ca="1" si="0"/>
        <v>0</v>
      </c>
    </row>
    <row r="40" spans="5:13">
      <c r="E40" s="130">
        <f ca="1">T_SoloAuto!_Pago_CAT</f>
        <v>0</v>
      </c>
      <c r="F40" s="130">
        <f ca="1">T_VidaMulti!_Pago_CAT</f>
        <v>0</v>
      </c>
      <c r="G40" s="130">
        <f ca="1">T_VidaAnual!_Pago_CAT</f>
        <v>0</v>
      </c>
      <c r="H40" s="130">
        <f ca="1">T_RenovVidaAnual!_Saldo_Renov_Anual * FactorRenovacionAnual</f>
        <v>0</v>
      </c>
      <c r="J40" s="131">
        <v>21</v>
      </c>
      <c r="K40" s="124">
        <f ca="1">SUM(_Componentes_CAT _Actual)</f>
        <v>0</v>
      </c>
      <c r="L40" s="123"/>
      <c r="M40" s="123">
        <f t="shared" ca="1" si="0"/>
        <v>0</v>
      </c>
    </row>
    <row r="41" spans="5:13">
      <c r="E41" s="130">
        <f ca="1">T_SoloAuto!_Pago_CAT</f>
        <v>0</v>
      </c>
      <c r="F41" s="130">
        <f ca="1">T_VidaMulti!_Pago_CAT</f>
        <v>0</v>
      </c>
      <c r="G41" s="130">
        <f ca="1">T_VidaAnual!_Pago_CAT</f>
        <v>0</v>
      </c>
      <c r="H41" s="130">
        <f ca="1">T_RenovVidaAnual!_Saldo_Renov_Anual * FactorRenovacionAnual</f>
        <v>0</v>
      </c>
      <c r="J41" s="131">
        <v>22</v>
      </c>
      <c r="K41" s="124">
        <f ca="1">SUM(_Componentes_CAT _Actual)</f>
        <v>0</v>
      </c>
      <c r="L41" s="123"/>
      <c r="M41" s="123">
        <f t="shared" ca="1" si="0"/>
        <v>0</v>
      </c>
    </row>
    <row r="42" spans="5:13">
      <c r="E42" s="130">
        <f ca="1">T_SoloAuto!_Pago_CAT</f>
        <v>0</v>
      </c>
      <c r="F42" s="130">
        <f ca="1">T_VidaMulti!_Pago_CAT</f>
        <v>0</v>
      </c>
      <c r="G42" s="130">
        <f ca="1">T_VidaAnual!_Pago_CAT</f>
        <v>0</v>
      </c>
      <c r="H42" s="130">
        <f ca="1">T_RenovVidaAnual!_Saldo_Renov_Anual * FactorRenovacionAnual</f>
        <v>0</v>
      </c>
      <c r="J42" s="131">
        <v>23</v>
      </c>
      <c r="K42" s="124">
        <f ca="1">SUM(_Componentes_CAT _Actual)</f>
        <v>0</v>
      </c>
      <c r="L42" s="123"/>
      <c r="M42" s="123">
        <f t="shared" ca="1" si="0"/>
        <v>0</v>
      </c>
    </row>
    <row r="43" spans="5:13">
      <c r="E43" s="130">
        <f ca="1">T_SoloAuto!_Pago_CAT</f>
        <v>0</v>
      </c>
      <c r="F43" s="130">
        <f ca="1">T_VidaMulti!_Pago_CAT</f>
        <v>0</v>
      </c>
      <c r="G43" s="130">
        <f ca="1">T_VidaAnual!_Pago_CAT</f>
        <v>0</v>
      </c>
      <c r="H43" s="130">
        <f ca="1">T_RenovVidaAnual!_Saldo_Renov_Anual * FactorRenovacionAnual</f>
        <v>0</v>
      </c>
      <c r="J43" s="131">
        <v>24</v>
      </c>
      <c r="K43" s="124">
        <f ca="1">SUM(_Componentes_CAT _Actual)</f>
        <v>0</v>
      </c>
      <c r="L43" s="123"/>
      <c r="M43" s="123">
        <f t="shared" ca="1" si="0"/>
        <v>0</v>
      </c>
    </row>
    <row r="44" spans="5:13">
      <c r="E44" s="130">
        <f ca="1">T_SoloAuto!_Pago_CAT</f>
        <v>0</v>
      </c>
      <c r="F44" s="130">
        <f ca="1">T_VidaMulti!_Pago_CAT</f>
        <v>0</v>
      </c>
      <c r="G44" s="130">
        <f ca="1">T_VidaAnual!_Pago_CAT</f>
        <v>0</v>
      </c>
      <c r="H44" s="130">
        <f ca="1">T_RenovVidaAnual!_Saldo_Renov_Anual * FactorRenovacionAnual</f>
        <v>0</v>
      </c>
      <c r="J44" s="131">
        <v>25</v>
      </c>
      <c r="K44" s="124">
        <f ca="1">SUM(_Componentes_CAT _Actual)</f>
        <v>0</v>
      </c>
      <c r="L44" s="123"/>
      <c r="M44" s="123">
        <f t="shared" ca="1" si="0"/>
        <v>0</v>
      </c>
    </row>
    <row r="45" spans="5:13">
      <c r="E45" s="130">
        <f ca="1">T_SoloAuto!_Pago_CAT</f>
        <v>0</v>
      </c>
      <c r="F45" s="130">
        <f ca="1">T_VidaMulti!_Pago_CAT</f>
        <v>0</v>
      </c>
      <c r="G45" s="130">
        <f ca="1">T_VidaAnual!_Pago_CAT</f>
        <v>0</v>
      </c>
      <c r="H45" s="130">
        <f ca="1">T_RenovVidaAnual!_Saldo_Renov_Anual * FactorRenovacionAnual</f>
        <v>0</v>
      </c>
      <c r="J45" s="131">
        <v>26</v>
      </c>
      <c r="K45" s="124">
        <f ca="1">SUM(_Componentes_CAT _Actual)</f>
        <v>0</v>
      </c>
      <c r="L45" s="123"/>
      <c r="M45" s="123">
        <f t="shared" ca="1" si="0"/>
        <v>0</v>
      </c>
    </row>
    <row r="46" spans="5:13">
      <c r="E46" s="130">
        <f ca="1">T_SoloAuto!_Pago_CAT</f>
        <v>0</v>
      </c>
      <c r="F46" s="130">
        <f ca="1">T_VidaMulti!_Pago_CAT</f>
        <v>0</v>
      </c>
      <c r="G46" s="130">
        <f ca="1">T_VidaAnual!_Pago_CAT</f>
        <v>0</v>
      </c>
      <c r="H46" s="130">
        <f ca="1">T_RenovVidaAnual!_Saldo_Renov_Anual * FactorRenovacionAnual</f>
        <v>0</v>
      </c>
      <c r="J46" s="131">
        <v>27</v>
      </c>
      <c r="K46" s="124">
        <f ca="1">SUM(_Componentes_CAT _Actual)</f>
        <v>0</v>
      </c>
      <c r="L46" s="123"/>
      <c r="M46" s="123">
        <f t="shared" ca="1" si="0"/>
        <v>0</v>
      </c>
    </row>
    <row r="47" spans="5:13">
      <c r="E47" s="130">
        <f ca="1">T_SoloAuto!_Pago_CAT</f>
        <v>0</v>
      </c>
      <c r="F47" s="130">
        <f ca="1">T_VidaMulti!_Pago_CAT</f>
        <v>0</v>
      </c>
      <c r="G47" s="130">
        <f ca="1">T_VidaAnual!_Pago_CAT</f>
        <v>0</v>
      </c>
      <c r="H47" s="130">
        <f ca="1">T_RenovVidaAnual!_Saldo_Renov_Anual * FactorRenovacionAnual</f>
        <v>0</v>
      </c>
      <c r="J47" s="131">
        <v>28</v>
      </c>
      <c r="K47" s="124">
        <f ca="1">SUM(_Componentes_CAT _Actual)</f>
        <v>0</v>
      </c>
      <c r="L47" s="123"/>
      <c r="M47" s="123">
        <f t="shared" ca="1" si="0"/>
        <v>0</v>
      </c>
    </row>
    <row r="48" spans="5:13">
      <c r="E48" s="130">
        <f ca="1">T_SoloAuto!_Pago_CAT</f>
        <v>0</v>
      </c>
      <c r="F48" s="130">
        <f ca="1">T_VidaMulti!_Pago_CAT</f>
        <v>0</v>
      </c>
      <c r="G48" s="130">
        <f ca="1">T_VidaAnual!_Pago_CAT</f>
        <v>0</v>
      </c>
      <c r="H48" s="130">
        <f ca="1">T_RenovVidaAnual!_Saldo_Renov_Anual * FactorRenovacionAnual</f>
        <v>0</v>
      </c>
      <c r="J48" s="131">
        <v>29</v>
      </c>
      <c r="K48" s="124">
        <f ca="1">SUM(_Componentes_CAT _Actual)</f>
        <v>0</v>
      </c>
      <c r="L48" s="123"/>
      <c r="M48" s="123">
        <f t="shared" ca="1" si="0"/>
        <v>0</v>
      </c>
    </row>
    <row r="49" spans="5:13">
      <c r="E49" s="130">
        <f ca="1">T_SoloAuto!_Pago_CAT</f>
        <v>0</v>
      </c>
      <c r="F49" s="130">
        <f ca="1">T_VidaMulti!_Pago_CAT</f>
        <v>0</v>
      </c>
      <c r="G49" s="130">
        <f ca="1">T_VidaAnual!_Pago_CAT</f>
        <v>0</v>
      </c>
      <c r="H49" s="130">
        <f ca="1">T_RenovVidaAnual!_Saldo_Renov_Anual * FactorRenovacionAnual</f>
        <v>0</v>
      </c>
      <c r="J49" s="131">
        <v>30</v>
      </c>
      <c r="K49" s="124">
        <f ca="1">SUM(_Componentes_CAT _Actual)</f>
        <v>0</v>
      </c>
      <c r="L49" s="123"/>
      <c r="M49" s="123">
        <f t="shared" ca="1" si="0"/>
        <v>0</v>
      </c>
    </row>
    <row r="50" spans="5:13">
      <c r="E50" s="130">
        <f ca="1">T_SoloAuto!_Pago_CAT</f>
        <v>0</v>
      </c>
      <c r="F50" s="130">
        <f ca="1">T_VidaMulti!_Pago_CAT</f>
        <v>0</v>
      </c>
      <c r="G50" s="130">
        <f ca="1">T_VidaAnual!_Pago_CAT</f>
        <v>0</v>
      </c>
      <c r="H50" s="130">
        <f ca="1">T_RenovVidaAnual!_Saldo_Renov_Anual * FactorRenovacionAnual</f>
        <v>0</v>
      </c>
      <c r="J50" s="131">
        <v>31</v>
      </c>
      <c r="K50" s="124">
        <f ca="1">SUM(_Componentes_CAT _Actual)</f>
        <v>0</v>
      </c>
      <c r="L50" s="123"/>
      <c r="M50" s="123">
        <f t="shared" ca="1" si="0"/>
        <v>0</v>
      </c>
    </row>
    <row r="51" spans="5:13">
      <c r="E51" s="130">
        <f ca="1">T_SoloAuto!_Pago_CAT</f>
        <v>0</v>
      </c>
      <c r="F51" s="130">
        <f ca="1">T_VidaMulti!_Pago_CAT</f>
        <v>0</v>
      </c>
      <c r="G51" s="130">
        <f ca="1">T_VidaAnual!_Pago_CAT</f>
        <v>0</v>
      </c>
      <c r="H51" s="130">
        <f ca="1">T_RenovVidaAnual!_Saldo_Renov_Anual * FactorRenovacionAnual</f>
        <v>0</v>
      </c>
      <c r="J51" s="131">
        <v>32</v>
      </c>
      <c r="K51" s="124">
        <f ca="1">SUM(_Componentes_CAT _Actual)</f>
        <v>0</v>
      </c>
      <c r="L51" s="123"/>
      <c r="M51" s="123">
        <f t="shared" ref="M51:M79" ca="1" si="1">+_Flujos.CAT/(1+CAT)^(_Num.Flujo/PeriodosPorAño)</f>
        <v>0</v>
      </c>
    </row>
    <row r="52" spans="5:13">
      <c r="E52" s="130">
        <f ca="1">T_SoloAuto!_Pago_CAT</f>
        <v>0</v>
      </c>
      <c r="F52" s="130">
        <f ca="1">T_VidaMulti!_Pago_CAT</f>
        <v>0</v>
      </c>
      <c r="G52" s="130">
        <f ca="1">T_VidaAnual!_Pago_CAT</f>
        <v>0</v>
      </c>
      <c r="H52" s="130">
        <f ca="1">T_RenovVidaAnual!_Saldo_Renov_Anual * FactorRenovacionAnual</f>
        <v>0</v>
      </c>
      <c r="J52" s="131">
        <v>33</v>
      </c>
      <c r="K52" s="124">
        <f ca="1">SUM(_Componentes_CAT _Actual)</f>
        <v>0</v>
      </c>
      <c r="L52" s="123"/>
      <c r="M52" s="123">
        <f t="shared" ca="1" si="1"/>
        <v>0</v>
      </c>
    </row>
    <row r="53" spans="5:13">
      <c r="E53" s="130">
        <f ca="1">T_SoloAuto!_Pago_CAT</f>
        <v>0</v>
      </c>
      <c r="F53" s="130">
        <f ca="1">T_VidaMulti!_Pago_CAT</f>
        <v>0</v>
      </c>
      <c r="G53" s="130">
        <f ca="1">T_VidaAnual!_Pago_CAT</f>
        <v>0</v>
      </c>
      <c r="H53" s="130">
        <f ca="1">T_RenovVidaAnual!_Saldo_Renov_Anual * FactorRenovacionAnual</f>
        <v>0</v>
      </c>
      <c r="J53" s="131">
        <v>34</v>
      </c>
      <c r="K53" s="124">
        <f ca="1">SUM(_Componentes_CAT _Actual)</f>
        <v>0</v>
      </c>
      <c r="L53" s="123"/>
      <c r="M53" s="123">
        <f t="shared" ca="1" si="1"/>
        <v>0</v>
      </c>
    </row>
    <row r="54" spans="5:13">
      <c r="E54" s="130">
        <f ca="1">T_SoloAuto!_Pago_CAT</f>
        <v>0</v>
      </c>
      <c r="F54" s="130">
        <f ca="1">T_VidaMulti!_Pago_CAT</f>
        <v>0</v>
      </c>
      <c r="G54" s="130">
        <f ca="1">T_VidaAnual!_Pago_CAT</f>
        <v>0</v>
      </c>
      <c r="H54" s="130">
        <f ca="1">T_RenovVidaAnual!_Saldo_Renov_Anual * FactorRenovacionAnual</f>
        <v>0</v>
      </c>
      <c r="J54" s="131">
        <v>35</v>
      </c>
      <c r="K54" s="124">
        <f ca="1">SUM(_Componentes_CAT _Actual)</f>
        <v>0</v>
      </c>
      <c r="L54" s="123"/>
      <c r="M54" s="123">
        <f t="shared" ca="1" si="1"/>
        <v>0</v>
      </c>
    </row>
    <row r="55" spans="5:13">
      <c r="E55" s="130">
        <f ca="1">T_SoloAuto!_Pago_CAT</f>
        <v>0</v>
      </c>
      <c r="F55" s="130">
        <f ca="1">T_VidaMulti!_Pago_CAT</f>
        <v>0</v>
      </c>
      <c r="G55" s="130">
        <f ca="1">T_VidaAnual!_Pago_CAT</f>
        <v>0</v>
      </c>
      <c r="H55" s="130">
        <f ca="1">T_RenovVidaAnual!_Saldo_Renov_Anual * FactorRenovacionAnual</f>
        <v>0</v>
      </c>
      <c r="J55" s="131">
        <v>36</v>
      </c>
      <c r="K55" s="124">
        <f ca="1">SUM(_Componentes_CAT _Actual)</f>
        <v>0</v>
      </c>
      <c r="L55" s="123"/>
      <c r="M55" s="123">
        <f t="shared" ca="1" si="1"/>
        <v>0</v>
      </c>
    </row>
    <row r="56" spans="5:13">
      <c r="E56" s="130">
        <f ca="1">T_SoloAuto!_Pago_CAT</f>
        <v>0</v>
      </c>
      <c r="F56" s="130">
        <f ca="1">T_VidaMulti!_Pago_CAT</f>
        <v>0</v>
      </c>
      <c r="G56" s="130">
        <f ca="1">T_VidaAnual!_Pago_CAT</f>
        <v>0</v>
      </c>
      <c r="H56" s="130">
        <f ca="1">T_RenovVidaAnual!_Saldo_Renov_Anual * FactorRenovacionAnual</f>
        <v>0</v>
      </c>
      <c r="J56" s="131">
        <v>37</v>
      </c>
      <c r="K56" s="124">
        <f ca="1">SUM(_Componentes_CAT _Actual)</f>
        <v>0</v>
      </c>
      <c r="L56" s="123"/>
      <c r="M56" s="123">
        <f t="shared" ca="1" si="1"/>
        <v>0</v>
      </c>
    </row>
    <row r="57" spans="5:13">
      <c r="E57" s="130">
        <f ca="1">T_SoloAuto!_Pago_CAT</f>
        <v>0</v>
      </c>
      <c r="F57" s="130">
        <f ca="1">T_VidaMulti!_Pago_CAT</f>
        <v>0</v>
      </c>
      <c r="G57" s="130">
        <f ca="1">T_VidaAnual!_Pago_CAT</f>
        <v>0</v>
      </c>
      <c r="H57" s="130">
        <f ca="1">T_RenovVidaAnual!_Saldo_Renov_Anual * FactorRenovacionAnual</f>
        <v>0</v>
      </c>
      <c r="J57" s="131">
        <v>38</v>
      </c>
      <c r="K57" s="124">
        <f ca="1">SUM(_Componentes_CAT _Actual)</f>
        <v>0</v>
      </c>
      <c r="L57" s="123"/>
      <c r="M57" s="123">
        <f t="shared" ca="1" si="1"/>
        <v>0</v>
      </c>
    </row>
    <row r="58" spans="5:13">
      <c r="E58" s="130">
        <f ca="1">T_SoloAuto!_Pago_CAT</f>
        <v>0</v>
      </c>
      <c r="F58" s="130">
        <f ca="1">T_VidaMulti!_Pago_CAT</f>
        <v>0</v>
      </c>
      <c r="G58" s="130">
        <f ca="1">T_VidaAnual!_Pago_CAT</f>
        <v>0</v>
      </c>
      <c r="H58" s="130">
        <f ca="1">T_RenovVidaAnual!_Saldo_Renov_Anual * FactorRenovacionAnual</f>
        <v>0</v>
      </c>
      <c r="J58" s="131">
        <v>39</v>
      </c>
      <c r="K58" s="124">
        <f ca="1">SUM(_Componentes_CAT _Actual)</f>
        <v>0</v>
      </c>
      <c r="L58" s="123"/>
      <c r="M58" s="123">
        <f t="shared" ca="1" si="1"/>
        <v>0</v>
      </c>
    </row>
    <row r="59" spans="5:13">
      <c r="E59" s="130">
        <f ca="1">T_SoloAuto!_Pago_CAT</f>
        <v>0</v>
      </c>
      <c r="F59" s="130">
        <f ca="1">T_VidaMulti!_Pago_CAT</f>
        <v>0</v>
      </c>
      <c r="G59" s="130">
        <f ca="1">T_VidaAnual!_Pago_CAT</f>
        <v>0</v>
      </c>
      <c r="H59" s="130">
        <f ca="1">T_RenovVidaAnual!_Saldo_Renov_Anual * FactorRenovacionAnual</f>
        <v>0</v>
      </c>
      <c r="J59" s="131">
        <v>40</v>
      </c>
      <c r="K59" s="124">
        <f ca="1">SUM(_Componentes_CAT _Actual)</f>
        <v>0</v>
      </c>
      <c r="L59" s="123"/>
      <c r="M59" s="123">
        <f t="shared" ca="1" si="1"/>
        <v>0</v>
      </c>
    </row>
    <row r="60" spans="5:13">
      <c r="E60" s="130">
        <f ca="1">T_SoloAuto!_Pago_CAT</f>
        <v>0</v>
      </c>
      <c r="F60" s="130">
        <f ca="1">T_VidaMulti!_Pago_CAT</f>
        <v>0</v>
      </c>
      <c r="G60" s="130">
        <f ca="1">T_VidaAnual!_Pago_CAT</f>
        <v>0</v>
      </c>
      <c r="H60" s="130">
        <f ca="1">T_RenovVidaAnual!_Saldo_Renov_Anual * FactorRenovacionAnual</f>
        <v>0</v>
      </c>
      <c r="J60" s="131">
        <v>41</v>
      </c>
      <c r="K60" s="124">
        <f ca="1">SUM(_Componentes_CAT _Actual)</f>
        <v>0</v>
      </c>
      <c r="L60" s="123"/>
      <c r="M60" s="123">
        <f t="shared" ca="1" si="1"/>
        <v>0</v>
      </c>
    </row>
    <row r="61" spans="5:13">
      <c r="E61" s="130">
        <f ca="1">T_SoloAuto!_Pago_CAT</f>
        <v>0</v>
      </c>
      <c r="F61" s="130">
        <f ca="1">T_VidaMulti!_Pago_CAT</f>
        <v>0</v>
      </c>
      <c r="G61" s="130">
        <f ca="1">T_VidaAnual!_Pago_CAT</f>
        <v>0</v>
      </c>
      <c r="H61" s="130">
        <f ca="1">T_RenovVidaAnual!_Saldo_Renov_Anual * FactorRenovacionAnual</f>
        <v>0</v>
      </c>
      <c r="J61" s="131">
        <v>42</v>
      </c>
      <c r="K61" s="124">
        <f ca="1">SUM(_Componentes_CAT _Actual)</f>
        <v>0</v>
      </c>
      <c r="L61" s="123"/>
      <c r="M61" s="123">
        <f t="shared" ca="1" si="1"/>
        <v>0</v>
      </c>
    </row>
    <row r="62" spans="5:13">
      <c r="E62" s="130">
        <f ca="1">T_SoloAuto!_Pago_CAT</f>
        <v>0</v>
      </c>
      <c r="F62" s="130">
        <f ca="1">T_VidaMulti!_Pago_CAT</f>
        <v>0</v>
      </c>
      <c r="G62" s="130">
        <f ca="1">T_VidaAnual!_Pago_CAT</f>
        <v>0</v>
      </c>
      <c r="H62" s="130">
        <f ca="1">T_RenovVidaAnual!_Saldo_Renov_Anual * FactorRenovacionAnual</f>
        <v>0</v>
      </c>
      <c r="J62" s="131">
        <v>43</v>
      </c>
      <c r="K62" s="124">
        <f ca="1">SUM(_Componentes_CAT _Actual)</f>
        <v>0</v>
      </c>
      <c r="L62" s="123"/>
      <c r="M62" s="123">
        <f t="shared" ca="1" si="1"/>
        <v>0</v>
      </c>
    </row>
    <row r="63" spans="5:13">
      <c r="E63" s="130">
        <f ca="1">T_SoloAuto!_Pago_CAT</f>
        <v>0</v>
      </c>
      <c r="F63" s="130">
        <f ca="1">T_VidaMulti!_Pago_CAT</f>
        <v>0</v>
      </c>
      <c r="G63" s="130">
        <f ca="1">T_VidaAnual!_Pago_CAT</f>
        <v>0</v>
      </c>
      <c r="H63" s="130">
        <f ca="1">T_RenovVidaAnual!_Saldo_Renov_Anual * FactorRenovacionAnual</f>
        <v>0</v>
      </c>
      <c r="J63" s="131">
        <v>44</v>
      </c>
      <c r="K63" s="124">
        <f ca="1">SUM(_Componentes_CAT _Actual)</f>
        <v>0</v>
      </c>
      <c r="L63" s="123"/>
      <c r="M63" s="123">
        <f t="shared" ca="1" si="1"/>
        <v>0</v>
      </c>
    </row>
    <row r="64" spans="5:13">
      <c r="E64" s="130">
        <f ca="1">T_SoloAuto!_Pago_CAT</f>
        <v>0</v>
      </c>
      <c r="F64" s="130">
        <f ca="1">T_VidaMulti!_Pago_CAT</f>
        <v>0</v>
      </c>
      <c r="G64" s="130">
        <f ca="1">T_VidaAnual!_Pago_CAT</f>
        <v>0</v>
      </c>
      <c r="H64" s="130">
        <f ca="1">T_RenovVidaAnual!_Saldo_Renov_Anual * FactorRenovacionAnual</f>
        <v>0</v>
      </c>
      <c r="J64" s="131">
        <v>45</v>
      </c>
      <c r="K64" s="124">
        <f ca="1">SUM(_Componentes_CAT _Actual)</f>
        <v>0</v>
      </c>
      <c r="L64" s="123"/>
      <c r="M64" s="123">
        <f t="shared" ca="1" si="1"/>
        <v>0</v>
      </c>
    </row>
    <row r="65" spans="5:13">
      <c r="E65" s="130">
        <f ca="1">T_SoloAuto!_Pago_CAT</f>
        <v>0</v>
      </c>
      <c r="F65" s="130">
        <f ca="1">T_VidaMulti!_Pago_CAT</f>
        <v>0</v>
      </c>
      <c r="G65" s="130">
        <f ca="1">T_VidaAnual!_Pago_CAT</f>
        <v>0</v>
      </c>
      <c r="H65" s="130">
        <f ca="1">T_RenovVidaAnual!_Saldo_Renov_Anual * FactorRenovacionAnual</f>
        <v>0</v>
      </c>
      <c r="J65" s="131">
        <v>46</v>
      </c>
      <c r="K65" s="124">
        <f ca="1">SUM(_Componentes_CAT _Actual)</f>
        <v>0</v>
      </c>
      <c r="L65" s="123"/>
      <c r="M65" s="123">
        <f t="shared" ca="1" si="1"/>
        <v>0</v>
      </c>
    </row>
    <row r="66" spans="5:13">
      <c r="E66" s="130">
        <f ca="1">T_SoloAuto!_Pago_CAT</f>
        <v>0</v>
      </c>
      <c r="F66" s="130">
        <f ca="1">T_VidaMulti!_Pago_CAT</f>
        <v>0</v>
      </c>
      <c r="G66" s="130">
        <f ca="1">T_VidaAnual!_Pago_CAT</f>
        <v>0</v>
      </c>
      <c r="H66" s="130">
        <f ca="1">T_RenovVidaAnual!_Saldo_Renov_Anual * FactorRenovacionAnual</f>
        <v>0</v>
      </c>
      <c r="J66" s="131">
        <v>47</v>
      </c>
      <c r="K66" s="124">
        <f ca="1">SUM(_Componentes_CAT _Actual)</f>
        <v>0</v>
      </c>
      <c r="L66" s="123"/>
      <c r="M66" s="123">
        <f t="shared" ca="1" si="1"/>
        <v>0</v>
      </c>
    </row>
    <row r="67" spans="5:13">
      <c r="E67" s="130">
        <f ca="1">T_SoloAuto!_Pago_CAT</f>
        <v>0</v>
      </c>
      <c r="F67" s="130">
        <f ca="1">T_VidaMulti!_Pago_CAT</f>
        <v>0</v>
      </c>
      <c r="G67" s="130">
        <f ca="1">T_VidaAnual!_Pago_CAT</f>
        <v>0</v>
      </c>
      <c r="H67" s="130">
        <f ca="1">T_RenovVidaAnual!_Saldo_Renov_Anual * FactorRenovacionAnual</f>
        <v>0</v>
      </c>
      <c r="J67" s="131">
        <v>48</v>
      </c>
      <c r="K67" s="124">
        <f ca="1">SUM(_Componentes_CAT _Actual)</f>
        <v>0</v>
      </c>
      <c r="L67" s="123"/>
      <c r="M67" s="123">
        <f t="shared" ca="1" si="1"/>
        <v>0</v>
      </c>
    </row>
    <row r="68" spans="5:13">
      <c r="E68" s="130">
        <f ca="1">T_SoloAuto!_Pago_CAT</f>
        <v>0</v>
      </c>
      <c r="F68" s="130">
        <f ca="1">T_VidaMulti!_Pago_CAT</f>
        <v>0</v>
      </c>
      <c r="G68" s="130">
        <f ca="1">T_VidaAnual!_Pago_CAT</f>
        <v>0</v>
      </c>
      <c r="H68" s="130">
        <f ca="1">T_RenovVidaAnual!_Saldo_Renov_Anual * FactorRenovacionAnual</f>
        <v>0</v>
      </c>
      <c r="J68" s="131">
        <v>49</v>
      </c>
      <c r="K68" s="124">
        <f ca="1">SUM(_Componentes_CAT _Actual)</f>
        <v>0</v>
      </c>
      <c r="L68" s="123"/>
      <c r="M68" s="123">
        <f t="shared" ca="1" si="1"/>
        <v>0</v>
      </c>
    </row>
    <row r="69" spans="5:13">
      <c r="E69" s="130">
        <f ca="1">T_SoloAuto!_Pago_CAT</f>
        <v>0</v>
      </c>
      <c r="F69" s="130">
        <f ca="1">T_VidaMulti!_Pago_CAT</f>
        <v>0</v>
      </c>
      <c r="G69" s="130">
        <f ca="1">T_VidaAnual!_Pago_CAT</f>
        <v>0</v>
      </c>
      <c r="H69" s="130">
        <f ca="1">T_RenovVidaAnual!_Saldo_Renov_Anual * FactorRenovacionAnual</f>
        <v>0</v>
      </c>
      <c r="J69" s="131">
        <v>50</v>
      </c>
      <c r="K69" s="124">
        <f ca="1">SUM(_Componentes_CAT _Actual)</f>
        <v>0</v>
      </c>
      <c r="L69" s="123"/>
      <c r="M69" s="123">
        <f t="shared" ca="1" si="1"/>
        <v>0</v>
      </c>
    </row>
    <row r="70" spans="5:13">
      <c r="E70" s="130">
        <f ca="1">T_SoloAuto!_Pago_CAT</f>
        <v>0</v>
      </c>
      <c r="F70" s="130">
        <f ca="1">T_VidaMulti!_Pago_CAT</f>
        <v>0</v>
      </c>
      <c r="G70" s="130">
        <f ca="1">T_VidaAnual!_Pago_CAT</f>
        <v>0</v>
      </c>
      <c r="H70" s="130">
        <f ca="1">T_RenovVidaAnual!_Saldo_Renov_Anual * FactorRenovacionAnual</f>
        <v>0</v>
      </c>
      <c r="J70" s="131">
        <v>51</v>
      </c>
      <c r="K70" s="124">
        <f ca="1">SUM(_Componentes_CAT _Actual)</f>
        <v>0</v>
      </c>
      <c r="L70" s="123"/>
      <c r="M70" s="123">
        <f t="shared" ca="1" si="1"/>
        <v>0</v>
      </c>
    </row>
    <row r="71" spans="5:13">
      <c r="E71" s="130">
        <f ca="1">T_SoloAuto!_Pago_CAT</f>
        <v>0</v>
      </c>
      <c r="F71" s="130">
        <f ca="1">T_VidaMulti!_Pago_CAT</f>
        <v>0</v>
      </c>
      <c r="G71" s="130">
        <f ca="1">T_VidaAnual!_Pago_CAT</f>
        <v>0</v>
      </c>
      <c r="H71" s="130">
        <f ca="1">T_RenovVidaAnual!_Saldo_Renov_Anual * FactorRenovacionAnual</f>
        <v>0</v>
      </c>
      <c r="J71" s="131">
        <v>52</v>
      </c>
      <c r="K71" s="124">
        <f ca="1">SUM(_Componentes_CAT _Actual)</f>
        <v>0</v>
      </c>
      <c r="L71" s="123"/>
      <c r="M71" s="123">
        <f t="shared" ca="1" si="1"/>
        <v>0</v>
      </c>
    </row>
    <row r="72" spans="5:13">
      <c r="E72" s="130">
        <f ca="1">T_SoloAuto!_Pago_CAT</f>
        <v>0</v>
      </c>
      <c r="F72" s="130">
        <f ca="1">T_VidaMulti!_Pago_CAT</f>
        <v>0</v>
      </c>
      <c r="G72" s="130">
        <f ca="1">T_VidaAnual!_Pago_CAT</f>
        <v>0</v>
      </c>
      <c r="H72" s="130">
        <f ca="1">T_RenovVidaAnual!_Saldo_Renov_Anual * FactorRenovacionAnual</f>
        <v>0</v>
      </c>
      <c r="J72" s="131">
        <v>53</v>
      </c>
      <c r="K72" s="124">
        <f ca="1">SUM(_Componentes_CAT _Actual)</f>
        <v>0</v>
      </c>
      <c r="L72" s="123"/>
      <c r="M72" s="123">
        <f t="shared" ca="1" si="1"/>
        <v>0</v>
      </c>
    </row>
    <row r="73" spans="5:13">
      <c r="E73" s="130">
        <f ca="1">T_SoloAuto!_Pago_CAT</f>
        <v>0</v>
      </c>
      <c r="F73" s="130">
        <f ca="1">T_VidaMulti!_Pago_CAT</f>
        <v>0</v>
      </c>
      <c r="G73" s="130">
        <f ca="1">T_VidaAnual!_Pago_CAT</f>
        <v>0</v>
      </c>
      <c r="H73" s="130">
        <f ca="1">T_RenovVidaAnual!_Saldo_Renov_Anual * FactorRenovacionAnual</f>
        <v>0</v>
      </c>
      <c r="J73" s="131">
        <v>54</v>
      </c>
      <c r="K73" s="124">
        <f ca="1">SUM(_Componentes_CAT _Actual)</f>
        <v>0</v>
      </c>
      <c r="L73" s="123"/>
      <c r="M73" s="123">
        <f t="shared" ca="1" si="1"/>
        <v>0</v>
      </c>
    </row>
    <row r="74" spans="5:13">
      <c r="E74" s="130">
        <f ca="1">T_SoloAuto!_Pago_CAT</f>
        <v>0</v>
      </c>
      <c r="F74" s="130">
        <f ca="1">T_VidaMulti!_Pago_CAT</f>
        <v>0</v>
      </c>
      <c r="G74" s="130">
        <f ca="1">T_VidaAnual!_Pago_CAT</f>
        <v>0</v>
      </c>
      <c r="H74" s="130">
        <f ca="1">T_RenovVidaAnual!_Saldo_Renov_Anual * FactorRenovacionAnual</f>
        <v>0</v>
      </c>
      <c r="J74" s="131">
        <v>55</v>
      </c>
      <c r="K74" s="124">
        <f ca="1">SUM(_Componentes_CAT _Actual)</f>
        <v>0</v>
      </c>
      <c r="L74" s="123"/>
      <c r="M74" s="123">
        <f t="shared" ca="1" si="1"/>
        <v>0</v>
      </c>
    </row>
    <row r="75" spans="5:13">
      <c r="E75" s="130">
        <f ca="1">T_SoloAuto!_Pago_CAT</f>
        <v>0</v>
      </c>
      <c r="F75" s="130">
        <f ca="1">T_VidaMulti!_Pago_CAT</f>
        <v>0</v>
      </c>
      <c r="G75" s="130">
        <f ca="1">T_VidaAnual!_Pago_CAT</f>
        <v>0</v>
      </c>
      <c r="H75" s="130">
        <f ca="1">T_RenovVidaAnual!_Saldo_Renov_Anual * FactorRenovacionAnual</f>
        <v>0</v>
      </c>
      <c r="J75" s="131">
        <v>56</v>
      </c>
      <c r="K75" s="124">
        <f ca="1">SUM(_Componentes_CAT _Actual)</f>
        <v>0</v>
      </c>
      <c r="L75" s="123"/>
      <c r="M75" s="123">
        <f t="shared" ca="1" si="1"/>
        <v>0</v>
      </c>
    </row>
    <row r="76" spans="5:13">
      <c r="E76" s="130">
        <f ca="1">T_SoloAuto!_Pago_CAT</f>
        <v>0</v>
      </c>
      <c r="F76" s="130">
        <f ca="1">T_VidaMulti!_Pago_CAT</f>
        <v>0</v>
      </c>
      <c r="G76" s="130">
        <f ca="1">T_VidaAnual!_Pago_CAT</f>
        <v>0</v>
      </c>
      <c r="H76" s="130">
        <f ca="1">T_RenovVidaAnual!_Saldo_Renov_Anual * FactorRenovacionAnual</f>
        <v>0</v>
      </c>
      <c r="J76" s="131">
        <v>57</v>
      </c>
      <c r="K76" s="124">
        <f ca="1">SUM(_Componentes_CAT _Actual)</f>
        <v>0</v>
      </c>
      <c r="L76" s="123"/>
      <c r="M76" s="123">
        <f t="shared" ca="1" si="1"/>
        <v>0</v>
      </c>
    </row>
    <row r="77" spans="5:13">
      <c r="E77" s="130">
        <f ca="1">T_SoloAuto!_Pago_CAT</f>
        <v>0</v>
      </c>
      <c r="F77" s="130">
        <f ca="1">T_VidaMulti!_Pago_CAT</f>
        <v>0</v>
      </c>
      <c r="G77" s="130">
        <f ca="1">T_VidaAnual!_Pago_CAT</f>
        <v>0</v>
      </c>
      <c r="H77" s="130">
        <f ca="1">T_RenovVidaAnual!_Saldo_Renov_Anual * FactorRenovacionAnual</f>
        <v>0</v>
      </c>
      <c r="J77" s="131">
        <v>58</v>
      </c>
      <c r="K77" s="124">
        <f ca="1">SUM(_Componentes_CAT _Actual)</f>
        <v>0</v>
      </c>
      <c r="L77" s="123"/>
      <c r="M77" s="123">
        <f t="shared" ca="1" si="1"/>
        <v>0</v>
      </c>
    </row>
    <row r="78" spans="5:13">
      <c r="E78" s="130">
        <f ca="1">T_SoloAuto!_Pago_CAT</f>
        <v>0</v>
      </c>
      <c r="F78" s="130">
        <f ca="1">T_VidaMulti!_Pago_CAT</f>
        <v>0</v>
      </c>
      <c r="G78" s="130">
        <f ca="1">T_VidaAnual!_Pago_CAT</f>
        <v>0</v>
      </c>
      <c r="H78" s="130">
        <f ca="1">T_RenovVidaAnual!_Saldo_Renov_Anual * FactorRenovacionAnual</f>
        <v>0</v>
      </c>
      <c r="J78" s="131">
        <v>59</v>
      </c>
      <c r="K78" s="124">
        <f ca="1">SUM(_Componentes_CAT _Actual)</f>
        <v>0</v>
      </c>
      <c r="L78" s="123"/>
      <c r="M78" s="123">
        <f t="shared" ca="1" si="1"/>
        <v>0</v>
      </c>
    </row>
    <row r="79" spans="5:13">
      <c r="E79" s="130">
        <f ca="1">T_SoloAuto!_Pago_CAT</f>
        <v>0</v>
      </c>
      <c r="F79" s="130">
        <f ca="1">T_VidaMulti!_Pago_CAT</f>
        <v>0</v>
      </c>
      <c r="G79" s="130">
        <f ca="1">T_VidaAnual!_Pago_CAT</f>
        <v>0</v>
      </c>
      <c r="H79" s="130">
        <f ca="1">T_RenovVidaAnual!_Saldo_Renov_Anual * FactorRenovacionAnual</f>
        <v>0</v>
      </c>
      <c r="J79" s="131">
        <v>60</v>
      </c>
      <c r="K79" s="124">
        <f ca="1">SUM(_Componentes_CAT _Actual)</f>
        <v>0</v>
      </c>
      <c r="L79" s="123"/>
      <c r="M79" s="123">
        <f t="shared" ca="1" si="1"/>
        <v>0</v>
      </c>
    </row>
  </sheetData>
  <mergeCells count="2">
    <mergeCell ref="G6:H6"/>
    <mergeCell ref="M15:N15"/>
  </mergeCells>
  <phoneticPr fontId="24"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7.5703125" bestFit="1" customWidth="1"/>
    <col min="11" max="11" width="17.140625" bestFit="1" customWidth="1"/>
    <col min="12" max="12" width="16.140625" bestFit="1" customWidth="1"/>
    <col min="13" max="13" width="2.140625" customWidth="1"/>
  </cols>
  <sheetData>
    <row r="1" spans="1:6" ht="20.25" thickBot="1">
      <c r="A1" s="12"/>
      <c r="B1" s="12"/>
      <c r="C1" s="12"/>
      <c r="D1" s="12"/>
      <c r="E1" s="12"/>
    </row>
    <row r="2" spans="1:6" ht="15.75" thickTop="1"/>
    <row r="3" spans="1:6">
      <c r="B3" s="13" t="s">
        <v>1665</v>
      </c>
    </row>
    <row r="4" spans="1:6">
      <c r="A4" s="2" t="s">
        <v>493</v>
      </c>
      <c r="B4" s="2" t="s">
        <v>494</v>
      </c>
      <c r="C4" s="3" t="s">
        <v>495</v>
      </c>
      <c r="D4" s="2" t="s">
        <v>1666</v>
      </c>
      <c r="E4" s="2" t="s">
        <v>1667</v>
      </c>
    </row>
    <row r="5" spans="1:6">
      <c r="A5" s="48">
        <v>1</v>
      </c>
      <c r="B5" s="49" t="s">
        <v>1668</v>
      </c>
      <c r="C5" s="50">
        <f>A5</f>
        <v>1</v>
      </c>
      <c r="D5" s="5">
        <v>30</v>
      </c>
      <c r="E5" s="7">
        <v>12</v>
      </c>
    </row>
    <row r="6" spans="1:6">
      <c r="A6" s="51">
        <v>2</v>
      </c>
      <c r="B6" s="52" t="s">
        <v>1669</v>
      </c>
      <c r="C6" s="53">
        <f>A6</f>
        <v>2</v>
      </c>
      <c r="D6" s="54">
        <v>15</v>
      </c>
      <c r="E6" s="55">
        <v>24</v>
      </c>
    </row>
    <row r="7" spans="1:6">
      <c r="A7" s="51">
        <v>3</v>
      </c>
      <c r="B7" s="52" t="s">
        <v>1670</v>
      </c>
      <c r="C7" s="53">
        <f>A7</f>
        <v>3</v>
      </c>
      <c r="D7" s="54">
        <v>14</v>
      </c>
      <c r="E7" s="55">
        <v>26</v>
      </c>
    </row>
    <row r="8" spans="1:6">
      <c r="A8" s="51">
        <v>4</v>
      </c>
      <c r="B8" s="52" t="s">
        <v>1671</v>
      </c>
      <c r="C8" s="53">
        <f>A8</f>
        <v>4</v>
      </c>
      <c r="D8" s="54">
        <v>150000</v>
      </c>
      <c r="E8" s="55">
        <v>36</v>
      </c>
    </row>
    <row r="9" spans="1:6">
      <c r="A9" s="56">
        <v>5</v>
      </c>
      <c r="B9" s="57" t="s">
        <v>1672</v>
      </c>
      <c r="C9" s="58">
        <f>A9</f>
        <v>5</v>
      </c>
      <c r="D9" s="9">
        <v>7</v>
      </c>
      <c r="E9" s="11">
        <v>52</v>
      </c>
    </row>
    <row r="12" spans="1:6">
      <c r="B12" s="13" t="s">
        <v>1625</v>
      </c>
    </row>
    <row r="13" spans="1:6">
      <c r="A13" s="2" t="s">
        <v>493</v>
      </c>
      <c r="B13" s="2" t="s">
        <v>494</v>
      </c>
      <c r="C13" s="3" t="s">
        <v>495</v>
      </c>
      <c r="D13" s="2" t="s">
        <v>1627</v>
      </c>
      <c r="E13" s="31" t="s">
        <v>1626</v>
      </c>
      <c r="F13" s="31" t="s">
        <v>1680</v>
      </c>
    </row>
    <row r="14" spans="1:6">
      <c r="A14" s="24">
        <v>1</v>
      </c>
      <c r="B14" s="5" t="s">
        <v>1617</v>
      </c>
      <c r="C14" s="6">
        <f>A14</f>
        <v>1</v>
      </c>
      <c r="D14" s="27">
        <v>2</v>
      </c>
      <c r="E14" s="27">
        <v>0</v>
      </c>
      <c r="F14" s="27"/>
    </row>
    <row r="15" spans="1:6">
      <c r="A15" s="24">
        <v>2</v>
      </c>
      <c r="B15" s="22" t="s">
        <v>1618</v>
      </c>
      <c r="C15" s="25">
        <f t="shared" ref="C15:C21" si="0">A15</f>
        <v>2</v>
      </c>
      <c r="D15" s="24">
        <v>6</v>
      </c>
      <c r="E15" s="29">
        <v>0</v>
      </c>
      <c r="F15" s="29"/>
    </row>
    <row r="16" spans="1:6">
      <c r="A16" s="24">
        <v>3</v>
      </c>
      <c r="B16" s="22" t="s">
        <v>1619</v>
      </c>
      <c r="C16" s="25">
        <f t="shared" si="0"/>
        <v>3</v>
      </c>
      <c r="D16" s="24">
        <v>12</v>
      </c>
      <c r="E16" s="29">
        <v>1</v>
      </c>
      <c r="F16" s="29">
        <v>1</v>
      </c>
    </row>
    <row r="17" spans="1:7">
      <c r="A17" s="24">
        <v>4</v>
      </c>
      <c r="B17" s="22" t="s">
        <v>1620</v>
      </c>
      <c r="C17" s="25">
        <f t="shared" si="0"/>
        <v>4</v>
      </c>
      <c r="D17" s="24">
        <v>18</v>
      </c>
      <c r="E17" s="29">
        <v>2</v>
      </c>
      <c r="F17" s="29"/>
    </row>
    <row r="18" spans="1:7">
      <c r="A18" s="24">
        <v>5</v>
      </c>
      <c r="B18" s="22" t="s">
        <v>1621</v>
      </c>
      <c r="C18" s="25">
        <f t="shared" si="0"/>
        <v>5</v>
      </c>
      <c r="D18" s="24">
        <v>24</v>
      </c>
      <c r="E18" s="29">
        <v>3</v>
      </c>
      <c r="F18" s="29">
        <v>2</v>
      </c>
    </row>
    <row r="19" spans="1:7">
      <c r="A19" s="24">
        <v>6</v>
      </c>
      <c r="B19" s="22" t="s">
        <v>1622</v>
      </c>
      <c r="C19" s="25">
        <f t="shared" si="0"/>
        <v>6</v>
      </c>
      <c r="D19" s="24">
        <v>36</v>
      </c>
      <c r="E19" s="29">
        <v>4</v>
      </c>
      <c r="F19" s="29">
        <v>3</v>
      </c>
    </row>
    <row r="20" spans="1:7">
      <c r="A20" s="24">
        <v>7</v>
      </c>
      <c r="B20" s="22" t="s">
        <v>1623</v>
      </c>
      <c r="C20" s="25">
        <f t="shared" si="0"/>
        <v>7</v>
      </c>
      <c r="D20" s="24">
        <v>48</v>
      </c>
      <c r="E20" s="29">
        <v>5</v>
      </c>
      <c r="F20" s="29">
        <v>4</v>
      </c>
    </row>
    <row r="21" spans="1:7">
      <c r="A21" s="24">
        <v>8</v>
      </c>
      <c r="B21" s="23" t="s">
        <v>1624</v>
      </c>
      <c r="C21" s="26">
        <f t="shared" si="0"/>
        <v>8</v>
      </c>
      <c r="D21" s="28">
        <v>60</v>
      </c>
      <c r="E21" s="30">
        <v>6</v>
      </c>
      <c r="F21" s="30">
        <v>5</v>
      </c>
    </row>
    <row r="23" spans="1:7">
      <c r="E23" s="926" t="s">
        <v>3485</v>
      </c>
      <c r="F23" s="926"/>
      <c r="G23" s="926"/>
    </row>
    <row r="24" spans="1:7">
      <c r="B24" s="13" t="s">
        <v>492</v>
      </c>
      <c r="E24" s="924" t="s">
        <v>3272</v>
      </c>
      <c r="F24" s="925"/>
      <c r="G24" s="419" t="s">
        <v>497</v>
      </c>
    </row>
    <row r="25" spans="1:7">
      <c r="A25" s="2" t="s">
        <v>493</v>
      </c>
      <c r="B25" s="2" t="s">
        <v>494</v>
      </c>
      <c r="C25" s="3" t="s">
        <v>495</v>
      </c>
      <c r="D25" s="2" t="s">
        <v>496</v>
      </c>
    </row>
    <row r="26" spans="1:7">
      <c r="A26" s="4">
        <v>1</v>
      </c>
      <c r="B26" s="5" t="s">
        <v>497</v>
      </c>
      <c r="C26" s="6">
        <f>A26</f>
        <v>1</v>
      </c>
      <c r="D26" s="7">
        <v>0.16</v>
      </c>
    </row>
    <row r="27" spans="1:7">
      <c r="A27" s="8">
        <v>2</v>
      </c>
      <c r="B27" s="9" t="s">
        <v>498</v>
      </c>
      <c r="C27" s="10">
        <f>A27</f>
        <v>2</v>
      </c>
      <c r="D27" s="11">
        <v>0.11</v>
      </c>
    </row>
    <row r="29" spans="1:7">
      <c r="B29" s="344" t="s">
        <v>5085</v>
      </c>
    </row>
    <row r="30" spans="1:7">
      <c r="A30" s="2" t="s">
        <v>493</v>
      </c>
      <c r="B30" s="2" t="s">
        <v>494</v>
      </c>
      <c r="C30" s="3" t="s">
        <v>495</v>
      </c>
      <c r="D30" s="2" t="s">
        <v>1638</v>
      </c>
    </row>
    <row r="31" spans="1:7">
      <c r="A31" s="669">
        <v>1</v>
      </c>
      <c r="B31" s="669" t="s">
        <v>5086</v>
      </c>
      <c r="C31" s="6">
        <f>A31</f>
        <v>1</v>
      </c>
      <c r="D31" t="b">
        <v>1</v>
      </c>
    </row>
    <row r="32" spans="1:7">
      <c r="A32" s="669">
        <v>2</v>
      </c>
      <c r="B32" s="669" t="s">
        <v>5087</v>
      </c>
      <c r="C32" s="10">
        <f>A32</f>
        <v>2</v>
      </c>
      <c r="D32" t="b">
        <v>0</v>
      </c>
    </row>
    <row r="35" spans="1:5">
      <c r="B35" s="13" t="s">
        <v>1637</v>
      </c>
    </row>
    <row r="36" spans="1:5">
      <c r="A36" s="2" t="s">
        <v>493</v>
      </c>
      <c r="B36" s="2" t="s">
        <v>494</v>
      </c>
      <c r="C36" s="3" t="s">
        <v>495</v>
      </c>
      <c r="D36" s="2" t="s">
        <v>1638</v>
      </c>
      <c r="E36" s="2" t="s">
        <v>3294</v>
      </c>
    </row>
    <row r="37" spans="1:5">
      <c r="A37" s="14">
        <v>1</v>
      </c>
      <c r="B37" s="14" t="s">
        <v>1636</v>
      </c>
      <c r="C37" s="25">
        <f>A37</f>
        <v>1</v>
      </c>
      <c r="D37" t="b">
        <v>1</v>
      </c>
      <c r="E37" s="414" t="str">
        <f ca="1">IF(ID_AUTO_SUST=1,"","")</f>
        <v/>
      </c>
    </row>
    <row r="38" spans="1:5">
      <c r="A38" s="14">
        <v>2</v>
      </c>
      <c r="B38" s="14" t="s">
        <v>1635</v>
      </c>
      <c r="C38" s="25">
        <f>A38</f>
        <v>2</v>
      </c>
      <c r="D38" t="b">
        <v>0</v>
      </c>
    </row>
    <row r="40" spans="1:5">
      <c r="B40" s="13" t="s">
        <v>1709</v>
      </c>
    </row>
    <row r="41" spans="1:5">
      <c r="A41" s="2" t="s">
        <v>493</v>
      </c>
      <c r="B41" s="2" t="s">
        <v>494</v>
      </c>
      <c r="C41" s="3" t="s">
        <v>495</v>
      </c>
    </row>
    <row r="42" spans="1:5">
      <c r="A42" s="48">
        <v>1</v>
      </c>
      <c r="B42" s="49" t="s">
        <v>1706</v>
      </c>
      <c r="C42" s="50">
        <f>A42</f>
        <v>1</v>
      </c>
    </row>
    <row r="43" spans="1:5">
      <c r="A43" s="51">
        <v>2</v>
      </c>
      <c r="B43" s="52" t="s">
        <v>1707</v>
      </c>
      <c r="C43" s="53">
        <f>A43</f>
        <v>2</v>
      </c>
    </row>
    <row r="44" spans="1:5">
      <c r="A44" s="56">
        <v>3</v>
      </c>
      <c r="B44" s="57" t="s">
        <v>1708</v>
      </c>
      <c r="C44" s="58">
        <f>A44</f>
        <v>3</v>
      </c>
    </row>
    <row r="46" spans="1:5">
      <c r="B46" s="18"/>
      <c r="C46" s="18"/>
    </row>
    <row r="47" spans="1:5">
      <c r="B47" s="1" t="s">
        <v>501</v>
      </c>
    </row>
    <row r="48" spans="1:5">
      <c r="B48" s="16" t="s">
        <v>1684</v>
      </c>
      <c r="C48" s="17">
        <v>0.04</v>
      </c>
    </row>
    <row r="49" spans="2:9">
      <c r="B49" s="59" t="s">
        <v>1673</v>
      </c>
      <c r="C49" s="55">
        <v>30</v>
      </c>
    </row>
    <row r="50" spans="2:9">
      <c r="B50" s="47" t="s">
        <v>1674</v>
      </c>
      <c r="C50" s="11">
        <v>360</v>
      </c>
    </row>
    <row r="51" spans="2:9">
      <c r="B51" s="47" t="s">
        <v>1675</v>
      </c>
      <c r="C51" s="11">
        <v>12</v>
      </c>
    </row>
    <row r="52" spans="2:9">
      <c r="B52" s="47" t="s">
        <v>482</v>
      </c>
      <c r="C52" s="11">
        <f ca="1">IF(ID_TIPO_PERSONA=3,3,4)</f>
        <v>4</v>
      </c>
      <c r="D52" s="256" t="s">
        <v>483</v>
      </c>
    </row>
    <row r="54" spans="2:9">
      <c r="D54" s="927" t="s">
        <v>484</v>
      </c>
      <c r="E54" s="928"/>
      <c r="F54" s="928"/>
      <c r="G54" s="928"/>
      <c r="H54" s="928"/>
    </row>
    <row r="55" spans="2:9">
      <c r="D55" s="13" t="s">
        <v>481</v>
      </c>
      <c r="E55" s="344" t="s">
        <v>2454</v>
      </c>
      <c r="F55" s="13" t="s">
        <v>467</v>
      </c>
      <c r="G55" s="13" t="s">
        <v>468</v>
      </c>
      <c r="H55" s="344" t="s">
        <v>5113</v>
      </c>
      <c r="I55" s="344" t="s">
        <v>5116</v>
      </c>
    </row>
    <row r="56" spans="2:9">
      <c r="D56" s="345" t="str">
        <f>$B$16</f>
        <v>12 Meses</v>
      </c>
      <c r="E56" s="140"/>
      <c r="F56" s="345" t="str">
        <f>D56</f>
        <v>12 Meses</v>
      </c>
      <c r="G56" s="345" t="str">
        <f>F56</f>
        <v>12 Meses</v>
      </c>
      <c r="H56" s="345" t="str">
        <f>$B$16</f>
        <v>12 Meses</v>
      </c>
      <c r="I56" s="345" t="str">
        <f>H56</f>
        <v>12 Meses</v>
      </c>
    </row>
    <row r="57" spans="2:9">
      <c r="D57" s="346" t="str">
        <f>$B$18</f>
        <v>24 Meses</v>
      </c>
      <c r="E57" s="345" t="str">
        <f>D57</f>
        <v>24 Meses</v>
      </c>
      <c r="F57" s="346" t="str">
        <f>D57</f>
        <v>24 Meses</v>
      </c>
      <c r="G57" s="346" t="str">
        <f>F57</f>
        <v>24 Meses</v>
      </c>
      <c r="H57" s="346" t="str">
        <f>$B$18</f>
        <v>24 Meses</v>
      </c>
      <c r="I57" s="346" t="str">
        <f>H57</f>
        <v>24 Meses</v>
      </c>
    </row>
    <row r="58" spans="2:9">
      <c r="D58" s="346" t="str">
        <f>$B$19</f>
        <v>36 Meses</v>
      </c>
      <c r="E58" s="346" t="str">
        <f>D58</f>
        <v>36 Meses</v>
      </c>
      <c r="F58" s="346" t="str">
        <f>D58</f>
        <v>36 Meses</v>
      </c>
      <c r="G58" s="347" t="str">
        <f>F58</f>
        <v>36 Meses</v>
      </c>
      <c r="H58" s="346" t="str">
        <f>$B$19</f>
        <v>36 Meses</v>
      </c>
      <c r="I58" s="347" t="str">
        <f>H58</f>
        <v>36 Meses</v>
      </c>
    </row>
    <row r="59" spans="2:9">
      <c r="D59" s="346" t="str">
        <f>$B$20</f>
        <v>48 Meses</v>
      </c>
      <c r="E59" s="346" t="str">
        <f>D59</f>
        <v>48 Meses</v>
      </c>
      <c r="F59" s="347" t="str">
        <f>D59</f>
        <v>48 Meses</v>
      </c>
      <c r="H59" s="346" t="str">
        <f>$B$20</f>
        <v>48 Meses</v>
      </c>
    </row>
    <row r="60" spans="2:9">
      <c r="D60" s="347" t="str">
        <f>$B$21</f>
        <v>60 Meses</v>
      </c>
      <c r="E60" s="347" t="str">
        <f>D60</f>
        <v>60 Meses</v>
      </c>
      <c r="H60" s="347" t="str">
        <f>$B$21</f>
        <v>60 Meses</v>
      </c>
    </row>
    <row r="65" spans="7:9">
      <c r="I65" s="701"/>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24"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547</v>
      </c>
      <c r="B1" s="12"/>
      <c r="C1" s="12"/>
      <c r="D1" s="12"/>
      <c r="E1" s="12"/>
      <c r="F1" s="12"/>
      <c r="G1" s="12"/>
      <c r="H1" s="12"/>
      <c r="I1" s="12"/>
    </row>
    <row r="2" spans="1:15" ht="15.75" thickTop="1"/>
    <row r="3" spans="1:15">
      <c r="B3" s="13" t="s">
        <v>506</v>
      </c>
    </row>
    <row r="4" spans="1:15">
      <c r="A4" s="2" t="s">
        <v>493</v>
      </c>
      <c r="B4" s="2" t="s">
        <v>494</v>
      </c>
      <c r="C4" s="3" t="s">
        <v>495</v>
      </c>
      <c r="D4" s="2" t="s">
        <v>507</v>
      </c>
      <c r="E4" s="2" t="s">
        <v>462</v>
      </c>
      <c r="F4" s="2" t="s">
        <v>508</v>
      </c>
      <c r="G4" s="2" t="s">
        <v>2325</v>
      </c>
      <c r="H4" s="2" t="s">
        <v>2211</v>
      </c>
      <c r="I4" s="2" t="s">
        <v>3792</v>
      </c>
    </row>
    <row r="5" spans="1:15">
      <c r="A5" s="14">
        <v>1</v>
      </c>
      <c r="B5" s="14" t="s">
        <v>509</v>
      </c>
      <c r="C5" s="14">
        <f>A5</f>
        <v>1</v>
      </c>
      <c r="D5" s="19">
        <v>0.65</v>
      </c>
      <c r="E5" s="576">
        <v>0.61</v>
      </c>
      <c r="F5" s="14" t="s">
        <v>510</v>
      </c>
      <c r="G5" s="14" t="b">
        <v>0</v>
      </c>
      <c r="H5" s="14" t="b">
        <v>0</v>
      </c>
      <c r="I5" s="430">
        <v>318</v>
      </c>
      <c r="K5" s="355"/>
      <c r="O5" s="355"/>
    </row>
    <row r="6" spans="1:15">
      <c r="A6" s="14">
        <v>2</v>
      </c>
      <c r="B6" s="14" t="s">
        <v>511</v>
      </c>
      <c r="C6" s="14">
        <f t="shared" ref="C6:C36" si="0">A6</f>
        <v>2</v>
      </c>
      <c r="D6" s="19">
        <v>0.7</v>
      </c>
      <c r="E6" s="576">
        <v>0.7</v>
      </c>
      <c r="F6" s="14" t="s">
        <v>512</v>
      </c>
      <c r="G6" s="14" t="b">
        <v>1</v>
      </c>
      <c r="H6" s="14" t="b">
        <v>1</v>
      </c>
      <c r="I6" s="430">
        <v>318</v>
      </c>
      <c r="K6" s="355"/>
      <c r="O6" s="355"/>
    </row>
    <row r="7" spans="1:15">
      <c r="A7" s="14">
        <v>3</v>
      </c>
      <c r="B7" s="14" t="s">
        <v>513</v>
      </c>
      <c r="C7" s="14">
        <f t="shared" si="0"/>
        <v>3</v>
      </c>
      <c r="D7" s="19">
        <v>0.5</v>
      </c>
      <c r="E7" s="576">
        <v>0.5</v>
      </c>
      <c r="F7" s="14" t="s">
        <v>514</v>
      </c>
      <c r="G7" s="14" t="b">
        <v>1</v>
      </c>
      <c r="H7" s="14" t="b">
        <v>0</v>
      </c>
      <c r="I7" s="430">
        <v>318</v>
      </c>
      <c r="K7" s="355"/>
      <c r="O7" s="355"/>
    </row>
    <row r="8" spans="1:15">
      <c r="A8" s="14">
        <v>4</v>
      </c>
      <c r="B8" s="14" t="s">
        <v>515</v>
      </c>
      <c r="C8" s="14">
        <f t="shared" si="0"/>
        <v>4</v>
      </c>
      <c r="D8" s="19">
        <v>0.7</v>
      </c>
      <c r="E8" s="576">
        <v>0.7</v>
      </c>
      <c r="F8" s="14" t="s">
        <v>516</v>
      </c>
      <c r="G8" s="14" t="b">
        <v>0</v>
      </c>
      <c r="H8" s="14" t="b">
        <v>1</v>
      </c>
      <c r="I8" s="430">
        <v>318</v>
      </c>
      <c r="K8" s="355"/>
      <c r="O8" s="355"/>
    </row>
    <row r="9" spans="1:15">
      <c r="A9" s="14">
        <v>5</v>
      </c>
      <c r="B9" s="14" t="s">
        <v>517</v>
      </c>
      <c r="C9" s="14">
        <f t="shared" si="0"/>
        <v>5</v>
      </c>
      <c r="D9" s="19">
        <v>0.57999999999999996</v>
      </c>
      <c r="E9" s="576">
        <v>0.65</v>
      </c>
      <c r="F9" s="14" t="s">
        <v>510</v>
      </c>
      <c r="G9" s="14" t="b">
        <v>1</v>
      </c>
      <c r="H9" s="14" t="b">
        <v>1</v>
      </c>
      <c r="I9" s="430">
        <v>318</v>
      </c>
      <c r="K9" s="355"/>
      <c r="O9" s="355"/>
    </row>
    <row r="10" spans="1:15">
      <c r="A10" s="14">
        <v>6</v>
      </c>
      <c r="B10" s="14" t="s">
        <v>518</v>
      </c>
      <c r="C10" s="14">
        <f t="shared" si="0"/>
        <v>6</v>
      </c>
      <c r="D10" s="19">
        <v>0.65</v>
      </c>
      <c r="E10" s="576">
        <v>0.65</v>
      </c>
      <c r="F10" s="14" t="s">
        <v>519</v>
      </c>
      <c r="G10" s="14" t="b">
        <v>0</v>
      </c>
      <c r="H10" s="14" t="b">
        <v>0</v>
      </c>
      <c r="I10" s="430">
        <v>318</v>
      </c>
      <c r="K10" s="355"/>
      <c r="O10" s="355"/>
    </row>
    <row r="11" spans="1:15">
      <c r="A11" s="14">
        <v>7</v>
      </c>
      <c r="B11" s="14" t="s">
        <v>520</v>
      </c>
      <c r="C11" s="14">
        <f t="shared" si="0"/>
        <v>7</v>
      </c>
      <c r="D11" s="19">
        <v>0.7</v>
      </c>
      <c r="E11" s="576">
        <v>0.76</v>
      </c>
      <c r="F11" s="14" t="s">
        <v>514</v>
      </c>
      <c r="G11" s="14" t="b">
        <v>0</v>
      </c>
      <c r="H11" s="14" t="b">
        <v>1</v>
      </c>
      <c r="I11" s="430">
        <v>318</v>
      </c>
      <c r="K11" s="355"/>
      <c r="O11" s="355"/>
    </row>
    <row r="12" spans="1:15">
      <c r="A12" s="14">
        <v>8</v>
      </c>
      <c r="B12" s="14" t="s">
        <v>521</v>
      </c>
      <c r="C12" s="14">
        <f t="shared" si="0"/>
        <v>8</v>
      </c>
      <c r="D12" s="19">
        <v>0.7</v>
      </c>
      <c r="E12" s="576">
        <v>0.75</v>
      </c>
      <c r="F12" s="14" t="s">
        <v>516</v>
      </c>
      <c r="G12" s="14" t="b">
        <v>1</v>
      </c>
      <c r="H12" s="14" t="b">
        <v>1</v>
      </c>
      <c r="I12" s="430">
        <v>318</v>
      </c>
      <c r="K12" s="355"/>
      <c r="O12" s="355"/>
    </row>
    <row r="13" spans="1:15">
      <c r="A13" s="14">
        <v>9</v>
      </c>
      <c r="B13" s="14" t="s">
        <v>522</v>
      </c>
      <c r="C13" s="14">
        <f t="shared" si="0"/>
        <v>9</v>
      </c>
      <c r="D13" s="19">
        <v>0.9</v>
      </c>
      <c r="E13" s="576">
        <v>0.85</v>
      </c>
      <c r="F13" s="14" t="s">
        <v>523</v>
      </c>
      <c r="G13" s="14" t="b">
        <v>0</v>
      </c>
      <c r="H13" s="14" t="b">
        <v>0</v>
      </c>
      <c r="I13" s="430">
        <v>318</v>
      </c>
      <c r="K13" s="355"/>
      <c r="O13" s="355"/>
    </row>
    <row r="14" spans="1:15">
      <c r="A14" s="14">
        <v>10</v>
      </c>
      <c r="B14" s="14" t="s">
        <v>524</v>
      </c>
      <c r="C14" s="14">
        <f t="shared" si="0"/>
        <v>10</v>
      </c>
      <c r="D14" s="19">
        <v>0.57999999999999996</v>
      </c>
      <c r="E14" s="576">
        <v>0.65</v>
      </c>
      <c r="F14" s="14" t="s">
        <v>510</v>
      </c>
      <c r="G14" s="14" t="b">
        <v>1</v>
      </c>
      <c r="H14" s="14" t="b">
        <v>0</v>
      </c>
      <c r="I14" s="430">
        <v>318</v>
      </c>
      <c r="K14" s="355"/>
      <c r="O14" s="355"/>
    </row>
    <row r="15" spans="1:15">
      <c r="A15" s="14">
        <v>11</v>
      </c>
      <c r="B15" s="14" t="s">
        <v>525</v>
      </c>
      <c r="C15" s="14">
        <f t="shared" si="0"/>
        <v>11</v>
      </c>
      <c r="D15" s="19">
        <v>0.9</v>
      </c>
      <c r="E15" s="576">
        <v>0.85</v>
      </c>
      <c r="F15" s="14" t="s">
        <v>523</v>
      </c>
      <c r="G15" s="14" t="b">
        <v>0</v>
      </c>
      <c r="H15" s="14" t="b">
        <v>0</v>
      </c>
      <c r="I15" s="430">
        <v>318</v>
      </c>
      <c r="K15" s="355"/>
      <c r="O15" s="355"/>
    </row>
    <row r="16" spans="1:15">
      <c r="A16" s="14">
        <v>12</v>
      </c>
      <c r="B16" s="14" t="s">
        <v>526</v>
      </c>
      <c r="C16" s="14">
        <f t="shared" si="0"/>
        <v>12</v>
      </c>
      <c r="D16" s="19">
        <v>0.6</v>
      </c>
      <c r="E16" s="576">
        <v>0.5</v>
      </c>
      <c r="F16" s="14" t="s">
        <v>510</v>
      </c>
      <c r="G16" s="14" t="b">
        <v>0</v>
      </c>
      <c r="H16" s="14" t="b">
        <v>0</v>
      </c>
      <c r="I16" s="430">
        <v>318</v>
      </c>
      <c r="K16" s="355"/>
      <c r="O16" s="355"/>
    </row>
    <row r="17" spans="1:15">
      <c r="A17" s="14">
        <v>13</v>
      </c>
      <c r="B17" s="14" t="s">
        <v>527</v>
      </c>
      <c r="C17" s="14">
        <f t="shared" si="0"/>
        <v>13</v>
      </c>
      <c r="D17" s="19">
        <v>0.93</v>
      </c>
      <c r="E17" s="576">
        <v>0.85</v>
      </c>
      <c r="F17" s="14" t="s">
        <v>512</v>
      </c>
      <c r="G17" s="14" t="b">
        <v>0</v>
      </c>
      <c r="H17" s="14" t="b">
        <v>0</v>
      </c>
      <c r="I17" s="430">
        <v>318</v>
      </c>
      <c r="K17" s="355"/>
      <c r="O17" s="355"/>
    </row>
    <row r="18" spans="1:15">
      <c r="A18" s="14">
        <v>14</v>
      </c>
      <c r="B18" s="14" t="s">
        <v>528</v>
      </c>
      <c r="C18" s="14">
        <f t="shared" si="0"/>
        <v>14</v>
      </c>
      <c r="D18" s="19">
        <v>0.8</v>
      </c>
      <c r="E18" s="576">
        <v>0.65</v>
      </c>
      <c r="F18" s="14" t="s">
        <v>519</v>
      </c>
      <c r="G18" s="14" t="b">
        <v>0</v>
      </c>
      <c r="H18" s="14" t="b">
        <v>0</v>
      </c>
      <c r="I18" s="430">
        <v>318</v>
      </c>
      <c r="K18" s="355"/>
      <c r="O18" s="355"/>
    </row>
    <row r="19" spans="1:15">
      <c r="A19" s="14">
        <v>15</v>
      </c>
      <c r="B19" s="14" t="s">
        <v>529</v>
      </c>
      <c r="C19" s="14">
        <f t="shared" si="0"/>
        <v>15</v>
      </c>
      <c r="D19" s="19">
        <v>0.7</v>
      </c>
      <c r="E19" s="576">
        <v>0.65</v>
      </c>
      <c r="F19" s="14" t="s">
        <v>514</v>
      </c>
      <c r="G19" s="14" t="b">
        <v>0</v>
      </c>
      <c r="H19" s="14" t="b">
        <v>0</v>
      </c>
      <c r="I19" s="431">
        <v>465.86</v>
      </c>
      <c r="K19" s="355"/>
      <c r="O19" s="355"/>
    </row>
    <row r="20" spans="1:15">
      <c r="A20" s="14">
        <v>16</v>
      </c>
      <c r="B20" s="14" t="s">
        <v>530</v>
      </c>
      <c r="C20" s="14">
        <f t="shared" si="0"/>
        <v>16</v>
      </c>
      <c r="D20" s="19">
        <v>0.7</v>
      </c>
      <c r="E20" s="576">
        <v>0.7</v>
      </c>
      <c r="F20" s="14" t="s">
        <v>516</v>
      </c>
      <c r="G20" s="14" t="b">
        <v>0</v>
      </c>
      <c r="H20" s="14" t="b">
        <v>0</v>
      </c>
      <c r="I20" s="430">
        <v>318</v>
      </c>
      <c r="K20" s="355"/>
      <c r="O20" s="355"/>
    </row>
    <row r="21" spans="1:15">
      <c r="A21" s="14">
        <v>17</v>
      </c>
      <c r="B21" s="14" t="s">
        <v>531</v>
      </c>
      <c r="C21" s="14">
        <f t="shared" si="0"/>
        <v>17</v>
      </c>
      <c r="D21" s="19">
        <v>0.75</v>
      </c>
      <c r="E21" s="576">
        <v>0.7</v>
      </c>
      <c r="F21" s="14" t="s">
        <v>532</v>
      </c>
      <c r="G21" s="14" t="b">
        <v>0</v>
      </c>
      <c r="H21" s="14" t="b">
        <v>0</v>
      </c>
      <c r="I21" s="430">
        <v>318</v>
      </c>
      <c r="K21" s="355"/>
      <c r="O21" s="355"/>
    </row>
    <row r="22" spans="1:15">
      <c r="A22" s="14">
        <v>18</v>
      </c>
      <c r="B22" s="14" t="s">
        <v>533</v>
      </c>
      <c r="C22" s="14">
        <f t="shared" si="0"/>
        <v>18</v>
      </c>
      <c r="D22" s="19">
        <v>0.7</v>
      </c>
      <c r="E22" s="576">
        <v>0.67999999999999994</v>
      </c>
      <c r="F22" s="14" t="s">
        <v>532</v>
      </c>
      <c r="G22" s="14" t="b">
        <v>0</v>
      </c>
      <c r="H22" s="14" t="b">
        <v>0</v>
      </c>
      <c r="I22" s="430">
        <v>318</v>
      </c>
      <c r="K22" s="355"/>
      <c r="O22" s="355"/>
    </row>
    <row r="23" spans="1:15">
      <c r="A23" s="14">
        <v>19</v>
      </c>
      <c r="B23" s="14" t="s">
        <v>534</v>
      </c>
      <c r="C23" s="14">
        <f t="shared" si="0"/>
        <v>19</v>
      </c>
      <c r="D23" s="19">
        <v>0.62</v>
      </c>
      <c r="E23" s="576">
        <v>0.7</v>
      </c>
      <c r="F23" s="14" t="s">
        <v>516</v>
      </c>
      <c r="G23" s="14" t="b">
        <v>1</v>
      </c>
      <c r="H23" s="14" t="b">
        <v>1</v>
      </c>
      <c r="I23" s="431">
        <v>465.86</v>
      </c>
      <c r="K23" s="355"/>
      <c r="O23" s="355"/>
    </row>
    <row r="24" spans="1:15">
      <c r="A24" s="14">
        <v>20</v>
      </c>
      <c r="B24" s="14" t="s">
        <v>535</v>
      </c>
      <c r="C24" s="14">
        <f t="shared" si="0"/>
        <v>20</v>
      </c>
      <c r="D24" s="19">
        <v>0.7</v>
      </c>
      <c r="E24" s="576">
        <v>0.65</v>
      </c>
      <c r="F24" s="14" t="s">
        <v>514</v>
      </c>
      <c r="G24" s="14" t="b">
        <v>0</v>
      </c>
      <c r="H24" s="14" t="b">
        <v>0</v>
      </c>
      <c r="I24" s="430">
        <v>318</v>
      </c>
      <c r="K24" s="355"/>
      <c r="O24" s="355"/>
    </row>
    <row r="25" spans="1:15">
      <c r="A25" s="14">
        <v>21</v>
      </c>
      <c r="B25" s="14" t="s">
        <v>536</v>
      </c>
      <c r="C25" s="14">
        <f t="shared" si="0"/>
        <v>21</v>
      </c>
      <c r="D25" s="19">
        <v>0.65</v>
      </c>
      <c r="E25" s="576">
        <v>0.6</v>
      </c>
      <c r="F25" s="14" t="s">
        <v>516</v>
      </c>
      <c r="G25" s="14" t="b">
        <v>0</v>
      </c>
      <c r="H25" s="14" t="b">
        <v>0</v>
      </c>
      <c r="I25" s="430">
        <v>318</v>
      </c>
      <c r="K25" s="355"/>
      <c r="O25" s="355"/>
    </row>
    <row r="26" spans="1:15">
      <c r="A26" s="14">
        <v>22</v>
      </c>
      <c r="B26" s="425" t="s">
        <v>3789</v>
      </c>
      <c r="C26" s="14">
        <f t="shared" si="0"/>
        <v>22</v>
      </c>
      <c r="D26" s="19">
        <v>0.65</v>
      </c>
      <c r="E26" s="576">
        <v>0.56000000000000005</v>
      </c>
      <c r="F26" s="14" t="s">
        <v>510</v>
      </c>
      <c r="G26" s="14" t="b">
        <v>0</v>
      </c>
      <c r="H26" s="14" t="b">
        <v>0</v>
      </c>
      <c r="I26" s="430">
        <v>318</v>
      </c>
      <c r="K26" s="355"/>
      <c r="O26" s="355"/>
    </row>
    <row r="27" spans="1:15">
      <c r="A27" s="14">
        <v>23</v>
      </c>
      <c r="B27" s="14" t="s">
        <v>537</v>
      </c>
      <c r="C27" s="14">
        <f t="shared" si="0"/>
        <v>23</v>
      </c>
      <c r="D27" s="19">
        <v>0.55000000000000004</v>
      </c>
      <c r="E27" s="576">
        <v>0.58000000000000007</v>
      </c>
      <c r="F27" s="14" t="s">
        <v>510</v>
      </c>
      <c r="G27" s="14" t="b">
        <v>0</v>
      </c>
      <c r="H27" s="14" t="b">
        <v>1</v>
      </c>
      <c r="I27" s="430">
        <v>318</v>
      </c>
      <c r="K27" s="355"/>
      <c r="O27" s="355"/>
    </row>
    <row r="28" spans="1:15">
      <c r="A28" s="14">
        <v>24</v>
      </c>
      <c r="B28" s="14" t="s">
        <v>538</v>
      </c>
      <c r="C28" s="14">
        <f t="shared" si="0"/>
        <v>24</v>
      </c>
      <c r="D28" s="19">
        <v>0.6</v>
      </c>
      <c r="E28" s="576">
        <v>0.5</v>
      </c>
      <c r="F28" s="14" t="s">
        <v>510</v>
      </c>
      <c r="G28" s="14" t="b">
        <v>1</v>
      </c>
      <c r="H28" s="14" t="b">
        <v>0</v>
      </c>
      <c r="I28" s="430">
        <v>318</v>
      </c>
      <c r="K28" s="355"/>
      <c r="O28" s="355"/>
    </row>
    <row r="29" spans="1:15">
      <c r="A29" s="14">
        <v>25</v>
      </c>
      <c r="B29" s="14" t="s">
        <v>539</v>
      </c>
      <c r="C29" s="14">
        <f t="shared" si="0"/>
        <v>25</v>
      </c>
      <c r="D29" s="19">
        <v>0.8</v>
      </c>
      <c r="E29" s="576">
        <v>0.85</v>
      </c>
      <c r="F29" s="14" t="s">
        <v>519</v>
      </c>
      <c r="G29" s="14" t="b">
        <v>1</v>
      </c>
      <c r="H29" s="14" t="b">
        <v>0</v>
      </c>
      <c r="I29" s="430">
        <v>318</v>
      </c>
      <c r="K29" s="355"/>
      <c r="O29" s="355"/>
    </row>
    <row r="30" spans="1:15">
      <c r="A30" s="14">
        <v>26</v>
      </c>
      <c r="B30" s="14" t="s">
        <v>540</v>
      </c>
      <c r="C30" s="14">
        <f t="shared" si="0"/>
        <v>26</v>
      </c>
      <c r="D30" s="19">
        <v>0.7</v>
      </c>
      <c r="E30" s="576">
        <v>0.7</v>
      </c>
      <c r="F30" s="14" t="s">
        <v>516</v>
      </c>
      <c r="G30" s="14" t="b">
        <v>1</v>
      </c>
      <c r="H30" s="14" t="b">
        <v>1</v>
      </c>
      <c r="I30" s="430">
        <v>318</v>
      </c>
      <c r="K30" s="355"/>
      <c r="O30" s="355"/>
    </row>
    <row r="31" spans="1:15">
      <c r="A31" s="14">
        <v>27</v>
      </c>
      <c r="B31" s="14" t="s">
        <v>541</v>
      </c>
      <c r="C31" s="14">
        <f t="shared" si="0"/>
        <v>27</v>
      </c>
      <c r="D31" s="19">
        <v>0.93</v>
      </c>
      <c r="E31" s="576">
        <v>0.9</v>
      </c>
      <c r="F31" s="14" t="s">
        <v>512</v>
      </c>
      <c r="G31" s="14" t="b">
        <v>0</v>
      </c>
      <c r="H31" s="14" t="b">
        <v>1</v>
      </c>
      <c r="I31" s="430">
        <v>318</v>
      </c>
      <c r="K31" s="355"/>
      <c r="O31" s="355"/>
    </row>
    <row r="32" spans="1:15">
      <c r="A32" s="14">
        <v>28</v>
      </c>
      <c r="B32" s="14" t="s">
        <v>542</v>
      </c>
      <c r="C32" s="14">
        <f t="shared" si="0"/>
        <v>28</v>
      </c>
      <c r="D32" s="19">
        <v>0.7</v>
      </c>
      <c r="E32" s="576">
        <v>0.72</v>
      </c>
      <c r="F32" s="14" t="s">
        <v>516</v>
      </c>
      <c r="G32" s="14" t="b">
        <v>1</v>
      </c>
      <c r="H32" s="14" t="b">
        <v>1</v>
      </c>
      <c r="I32" s="430">
        <v>318</v>
      </c>
      <c r="K32" s="355"/>
      <c r="O32" s="355"/>
    </row>
    <row r="33" spans="1:15">
      <c r="A33" s="14">
        <v>29</v>
      </c>
      <c r="B33" s="14" t="s">
        <v>543</v>
      </c>
      <c r="C33" s="14">
        <f t="shared" si="0"/>
        <v>29</v>
      </c>
      <c r="D33" s="19">
        <v>0.77</v>
      </c>
      <c r="E33" s="576">
        <v>0.65</v>
      </c>
      <c r="F33" s="14" t="s">
        <v>514</v>
      </c>
      <c r="G33" s="14" t="b">
        <v>0</v>
      </c>
      <c r="H33" s="14" t="b">
        <v>0</v>
      </c>
      <c r="I33" s="430">
        <v>318</v>
      </c>
      <c r="K33" s="355"/>
      <c r="O33" s="355"/>
    </row>
    <row r="34" spans="1:15">
      <c r="A34" s="14">
        <v>30</v>
      </c>
      <c r="B34" s="14" t="s">
        <v>544</v>
      </c>
      <c r="C34" s="14">
        <f t="shared" si="0"/>
        <v>30</v>
      </c>
      <c r="D34" s="19">
        <v>0.77</v>
      </c>
      <c r="E34" s="576">
        <v>0.7</v>
      </c>
      <c r="F34" s="14" t="s">
        <v>514</v>
      </c>
      <c r="G34" s="14" t="b">
        <v>0</v>
      </c>
      <c r="H34" s="14" t="b">
        <v>0</v>
      </c>
      <c r="I34" s="430">
        <v>318</v>
      </c>
      <c r="K34" s="355"/>
      <c r="O34" s="355"/>
    </row>
    <row r="35" spans="1:15">
      <c r="A35" s="14">
        <v>31</v>
      </c>
      <c r="B35" s="14" t="s">
        <v>545</v>
      </c>
      <c r="C35" s="14">
        <f t="shared" si="0"/>
        <v>31</v>
      </c>
      <c r="D35" s="19">
        <v>0.65</v>
      </c>
      <c r="E35" s="576">
        <v>0.46799999999999997</v>
      </c>
      <c r="F35" s="14" t="s">
        <v>510</v>
      </c>
      <c r="G35" s="14" t="b">
        <v>0</v>
      </c>
      <c r="H35" s="14" t="b">
        <v>0</v>
      </c>
      <c r="I35" s="430">
        <v>318</v>
      </c>
      <c r="K35" s="355"/>
      <c r="O35" s="355"/>
    </row>
    <row r="36" spans="1:15">
      <c r="A36" s="14">
        <v>32</v>
      </c>
      <c r="B36" s="14" t="s">
        <v>546</v>
      </c>
      <c r="C36" s="14">
        <f t="shared" si="0"/>
        <v>32</v>
      </c>
      <c r="D36" s="19">
        <v>0.65</v>
      </c>
      <c r="E36" s="576">
        <v>0.6</v>
      </c>
      <c r="F36" s="14" t="s">
        <v>510</v>
      </c>
      <c r="G36" s="14" t="b">
        <v>1</v>
      </c>
      <c r="H36" s="14" t="b">
        <v>0</v>
      </c>
      <c r="I36" s="430">
        <v>318</v>
      </c>
      <c r="K36" s="355"/>
      <c r="O36" s="355"/>
    </row>
    <row r="38" spans="1:15">
      <c r="A38" s="578" t="s">
        <v>1765</v>
      </c>
      <c r="E38" s="576">
        <f>SUM(E5:E36)</f>
        <v>21.577999999999992</v>
      </c>
      <c r="F38" s="655" t="s">
        <v>4543</v>
      </c>
    </row>
    <row r="39" spans="1:15">
      <c r="D39" s="355"/>
      <c r="J39" s="355"/>
    </row>
  </sheetData>
  <phoneticPr fontId="24" type="noConversion"/>
  <conditionalFormatting sqref="G5:H36">
    <cfRule type="cellIs" dxfId="0"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topLeftCell="G1" zoomScale="85" zoomScaleNormal="85" workbookViewId="1">
      <selection activeCell="O11" sqref="O11"/>
    </sheetView>
  </sheetViews>
  <sheetFormatPr defaultRowHeight="15"/>
  <cols>
    <col min="1" max="1" width="5" style="594" customWidth="1"/>
    <col min="2" max="2" width="51.42578125" style="594" customWidth="1"/>
    <col min="3" max="3" width="10.5703125" style="594" customWidth="1"/>
    <col min="4" max="4" width="12" style="595" customWidth="1"/>
    <col min="5" max="5" width="43" style="594" bestFit="1" customWidth="1"/>
    <col min="6" max="6" width="16.28515625" style="625" customWidth="1"/>
    <col min="7" max="7" width="19.85546875" style="594" customWidth="1"/>
    <col min="8" max="8" width="28.140625" style="594" bestFit="1" customWidth="1"/>
    <col min="9" max="9" width="8.85546875" style="594" bestFit="1" customWidth="1"/>
    <col min="10" max="10" width="18" style="621" bestFit="1" customWidth="1"/>
    <col min="11" max="11" width="8.42578125" style="621" bestFit="1" customWidth="1"/>
    <col min="12" max="12" width="11.85546875" style="594" bestFit="1" customWidth="1"/>
    <col min="13" max="13" width="20.42578125" style="594" bestFit="1" customWidth="1"/>
    <col min="14" max="14" width="19.28515625" style="594" bestFit="1" customWidth="1"/>
    <col min="15" max="15" width="15.5703125" style="594" customWidth="1"/>
    <col min="16" max="16" width="23.42578125" style="594" bestFit="1" customWidth="1"/>
    <col min="17" max="17" width="18.85546875" style="594" bestFit="1" customWidth="1"/>
    <col min="18" max="18" width="27.7109375" style="594" bestFit="1" customWidth="1"/>
    <col min="19" max="19" width="9.140625" style="594" customWidth="1"/>
    <col min="20" max="20" width="11.5703125" style="594" bestFit="1" customWidth="1"/>
    <col min="21" max="21" width="11" style="594" customWidth="1"/>
    <col min="22" max="22" width="13.42578125" style="594" customWidth="1"/>
    <col min="23" max="16384" width="9.140625" style="594"/>
  </cols>
  <sheetData>
    <row r="1" spans="1:33" ht="15.75" thickBot="1">
      <c r="A1" s="626" t="s">
        <v>548</v>
      </c>
      <c r="B1" s="626"/>
      <c r="C1" s="626"/>
      <c r="D1" s="627"/>
      <c r="E1" s="626"/>
      <c r="F1" s="626"/>
      <c r="G1" s="626"/>
      <c r="H1" s="626"/>
      <c r="I1" s="626"/>
      <c r="J1" s="650"/>
      <c r="K1" s="650"/>
      <c r="L1" s="626"/>
      <c r="M1" s="626"/>
      <c r="N1" s="626"/>
      <c r="O1" s="626"/>
    </row>
    <row r="2" spans="1:33" ht="15.75" thickTop="1">
      <c r="F2" s="594"/>
    </row>
    <row r="3" spans="1:33">
      <c r="B3" s="596" t="s">
        <v>1663</v>
      </c>
      <c r="F3" s="594"/>
      <c r="J3" s="596" t="s">
        <v>1693</v>
      </c>
      <c r="P3" s="929" t="s">
        <v>1</v>
      </c>
      <c r="Q3" s="929"/>
      <c r="R3" s="929"/>
    </row>
    <row r="4" spans="1:33">
      <c r="A4" s="453" t="s">
        <v>493</v>
      </c>
      <c r="B4" s="453" t="s">
        <v>494</v>
      </c>
      <c r="C4" s="597" t="s">
        <v>495</v>
      </c>
      <c r="D4" s="598" t="s">
        <v>2196</v>
      </c>
      <c r="E4" s="453" t="s">
        <v>1788</v>
      </c>
      <c r="F4" s="453" t="s">
        <v>2326</v>
      </c>
      <c r="I4" s="453" t="s">
        <v>493</v>
      </c>
      <c r="J4" s="453" t="s">
        <v>494</v>
      </c>
      <c r="K4" s="597" t="s">
        <v>495</v>
      </c>
      <c r="L4" s="453" t="s">
        <v>1696</v>
      </c>
      <c r="M4"/>
      <c r="N4"/>
      <c r="P4" s="596" t="s">
        <v>187</v>
      </c>
      <c r="Q4" s="596"/>
      <c r="R4" s="596" t="s">
        <v>0</v>
      </c>
    </row>
    <row r="5" spans="1:33">
      <c r="A5" s="599">
        <v>1</v>
      </c>
      <c r="B5" s="599">
        <f ca="1">YEAR(TODAY())+1</f>
        <v>2016</v>
      </c>
      <c r="C5" s="600">
        <f t="shared" ref="C5:C10" si="0">A5</f>
        <v>1</v>
      </c>
      <c r="D5" s="601"/>
      <c r="E5" s="602">
        <f t="shared" ref="E5:E10" ca="1" si="1">YEAR(TODAY())-B5</f>
        <v>-1</v>
      </c>
      <c r="F5" s="599">
        <v>1</v>
      </c>
      <c r="I5" s="603">
        <v>1</v>
      </c>
      <c r="J5" s="599" t="s">
        <v>1694</v>
      </c>
      <c r="K5" s="604">
        <f>I5</f>
        <v>1</v>
      </c>
      <c r="L5" s="599" t="b">
        <v>1</v>
      </c>
      <c r="M5"/>
      <c r="N5"/>
      <c r="P5" s="605">
        <f ca="1">B5</f>
        <v>2016</v>
      </c>
      <c r="Q5" s="605"/>
      <c r="R5" s="605">
        <f ca="1">B6</f>
        <v>2015</v>
      </c>
    </row>
    <row r="6" spans="1:33">
      <c r="A6" s="602">
        <v>2</v>
      </c>
      <c r="B6" s="602">
        <f ca="1">B5-1</f>
        <v>2015</v>
      </c>
      <c r="C6" s="606">
        <f t="shared" si="0"/>
        <v>2</v>
      </c>
      <c r="D6" s="607"/>
      <c r="E6" s="602">
        <f t="shared" ca="1" si="1"/>
        <v>0</v>
      </c>
      <c r="F6" s="602">
        <v>1</v>
      </c>
      <c r="I6" s="608">
        <v>2</v>
      </c>
      <c r="J6" s="609" t="s">
        <v>1695</v>
      </c>
      <c r="K6" s="610">
        <f>I6</f>
        <v>2</v>
      </c>
      <c r="L6" s="609" t="b">
        <v>0</v>
      </c>
      <c r="M6"/>
      <c r="N6"/>
      <c r="P6" s="611">
        <f ca="1">B6</f>
        <v>2015</v>
      </c>
      <c r="Q6" s="612"/>
      <c r="R6" s="612">
        <f ca="1">B7</f>
        <v>2014</v>
      </c>
    </row>
    <row r="7" spans="1:33">
      <c r="A7" s="602">
        <v>3</v>
      </c>
      <c r="B7" s="602">
        <f ca="1">B6-1</f>
        <v>2014</v>
      </c>
      <c r="C7" s="606">
        <f t="shared" si="0"/>
        <v>3</v>
      </c>
      <c r="D7" s="613" t="str">
        <f ca="1">TEXT(B7,"0")</f>
        <v>2014</v>
      </c>
      <c r="E7" s="602">
        <f t="shared" ca="1" si="1"/>
        <v>1</v>
      </c>
      <c r="F7" s="602">
        <v>2</v>
      </c>
      <c r="P7" s="684">
        <v>2014</v>
      </c>
      <c r="R7" s="612">
        <f ca="1">B8</f>
        <v>2013</v>
      </c>
    </row>
    <row r="8" spans="1:33">
      <c r="A8" s="602">
        <v>4</v>
      </c>
      <c r="B8" s="602">
        <f ca="1">B7-1</f>
        <v>2013</v>
      </c>
      <c r="C8" s="606">
        <f t="shared" si="0"/>
        <v>4</v>
      </c>
      <c r="D8" s="613" t="str">
        <f ca="1">TEXT(B8,"0")</f>
        <v>2013</v>
      </c>
      <c r="E8" s="602">
        <f t="shared" ca="1" si="1"/>
        <v>2</v>
      </c>
      <c r="F8" s="602">
        <v>2</v>
      </c>
      <c r="J8" s="596" t="s">
        <v>2327</v>
      </c>
      <c r="R8" s="611">
        <f ca="1">B9</f>
        <v>2012</v>
      </c>
    </row>
    <row r="9" spans="1:33">
      <c r="A9" s="602">
        <v>5</v>
      </c>
      <c r="B9" s="602">
        <f ca="1">B8-1</f>
        <v>2012</v>
      </c>
      <c r="C9" s="606">
        <f t="shared" si="0"/>
        <v>5</v>
      </c>
      <c r="D9" s="613" t="str">
        <f ca="1">TEXT(B9,"0")</f>
        <v>2012</v>
      </c>
      <c r="E9" s="602">
        <f t="shared" ca="1" si="1"/>
        <v>3</v>
      </c>
      <c r="F9" s="602">
        <v>2</v>
      </c>
      <c r="G9" s="614"/>
      <c r="I9" s="453" t="s">
        <v>493</v>
      </c>
      <c r="J9" s="453" t="s">
        <v>494</v>
      </c>
      <c r="K9" s="597" t="s">
        <v>495</v>
      </c>
      <c r="L9" s="453" t="s">
        <v>2330</v>
      </c>
      <c r="R9" s="684">
        <v>2011</v>
      </c>
    </row>
    <row r="10" spans="1:33">
      <c r="A10" s="602">
        <v>6</v>
      </c>
      <c r="B10" s="602">
        <f ca="1">B9-1</f>
        <v>2011</v>
      </c>
      <c r="C10" s="606">
        <f t="shared" si="0"/>
        <v>6</v>
      </c>
      <c r="D10" s="613" t="str">
        <f ca="1">TEXT(B10,"0")</f>
        <v>2011</v>
      </c>
      <c r="E10" s="602">
        <f t="shared" ca="1" si="1"/>
        <v>4</v>
      </c>
      <c r="F10" s="602">
        <v>2</v>
      </c>
      <c r="I10" s="603">
        <v>1</v>
      </c>
      <c r="J10" s="599" t="s">
        <v>2328</v>
      </c>
      <c r="K10" s="604">
        <f>I10</f>
        <v>1</v>
      </c>
      <c r="L10" s="599" t="b">
        <v>1</v>
      </c>
    </row>
    <row r="11" spans="1:33">
      <c r="F11" s="594"/>
      <c r="I11" s="608">
        <v>2</v>
      </c>
      <c r="J11" s="609" t="s">
        <v>2329</v>
      </c>
      <c r="K11" s="610">
        <f>I11</f>
        <v>2</v>
      </c>
      <c r="L11" s="609" t="b">
        <v>0</v>
      </c>
      <c r="S11" s="552"/>
    </row>
    <row r="12" spans="1:33">
      <c r="B12" s="596" t="s">
        <v>549</v>
      </c>
      <c r="F12" s="594"/>
      <c r="L12" s="552"/>
      <c r="M12" s="552"/>
      <c r="N12" s="552"/>
      <c r="O12" s="552"/>
      <c r="P12" s="552"/>
      <c r="Q12" s="552"/>
      <c r="R12" s="552"/>
      <c r="S12" s="552"/>
      <c r="T12" s="552"/>
      <c r="U12" s="552"/>
      <c r="V12" s="552"/>
      <c r="W12" s="552"/>
      <c r="X12" s="552"/>
      <c r="Y12" s="552"/>
      <c r="Z12" s="552"/>
      <c r="AA12" s="552"/>
      <c r="AB12" s="552"/>
      <c r="AC12" s="552"/>
      <c r="AD12" s="552"/>
      <c r="AE12" s="552"/>
      <c r="AF12" s="552"/>
      <c r="AG12" s="552"/>
    </row>
    <row r="13" spans="1:33">
      <c r="A13" s="453" t="s">
        <v>493</v>
      </c>
      <c r="B13" s="453" t="s">
        <v>494</v>
      </c>
      <c r="C13" s="597" t="s">
        <v>495</v>
      </c>
      <c r="D13" s="598" t="s">
        <v>2216</v>
      </c>
      <c r="E13" s="453" t="s">
        <v>549</v>
      </c>
      <c r="F13" s="453" t="s">
        <v>551</v>
      </c>
      <c r="G13" s="453" t="s">
        <v>552</v>
      </c>
      <c r="H13" s="453" t="s">
        <v>553</v>
      </c>
      <c r="I13" s="453" t="s">
        <v>554</v>
      </c>
      <c r="J13" s="453" t="s">
        <v>1789</v>
      </c>
      <c r="K13" s="453" t="s">
        <v>556</v>
      </c>
      <c r="L13" s="453" t="s">
        <v>557</v>
      </c>
      <c r="M13" s="453" t="s">
        <v>558</v>
      </c>
      <c r="N13" s="453" t="s">
        <v>3265</v>
      </c>
      <c r="O13" s="453" t="s">
        <v>3266</v>
      </c>
      <c r="P13" s="453" t="s">
        <v>559</v>
      </c>
      <c r="Q13" s="453" t="s">
        <v>3791</v>
      </c>
      <c r="R13" s="453" t="s">
        <v>1649</v>
      </c>
      <c r="S13" s="615"/>
      <c r="T13" s="615"/>
      <c r="U13" s="615"/>
      <c r="V13" s="615"/>
      <c r="W13" s="615"/>
      <c r="X13" s="615"/>
      <c r="Y13" s="615"/>
      <c r="Z13" s="615"/>
      <c r="AA13" s="615"/>
      <c r="AB13" s="615"/>
      <c r="AC13" s="615"/>
      <c r="AD13" s="615"/>
      <c r="AE13" s="615"/>
      <c r="AF13" s="615"/>
      <c r="AG13" s="615"/>
    </row>
    <row r="14" spans="1:33">
      <c r="A14" s="616">
        <v>0</v>
      </c>
      <c r="B14" s="617" t="s">
        <v>2977</v>
      </c>
      <c r="C14" s="351"/>
      <c r="D14" s="628"/>
      <c r="E14" s="617"/>
      <c r="F14" s="618"/>
      <c r="G14" s="352"/>
      <c r="H14" s="352"/>
      <c r="I14" s="352"/>
      <c r="J14" s="352"/>
      <c r="K14" s="352"/>
      <c r="L14" s="352"/>
      <c r="M14" s="619"/>
      <c r="N14" s="352"/>
      <c r="O14" s="352"/>
      <c r="P14" s="352"/>
      <c r="Q14" s="352"/>
      <c r="R14" s="353"/>
      <c r="S14" s="553"/>
      <c r="T14" s="553"/>
      <c r="U14" s="553"/>
      <c r="V14" s="553"/>
      <c r="W14" s="553"/>
      <c r="X14" s="553"/>
      <c r="Y14" s="553"/>
      <c r="Z14" s="553"/>
      <c r="AA14" s="553"/>
      <c r="AB14" s="553"/>
      <c r="AC14" s="553"/>
      <c r="AD14" s="553"/>
      <c r="AE14" s="553"/>
      <c r="AF14" s="553"/>
      <c r="AG14" s="553"/>
    </row>
    <row r="15" spans="1:33">
      <c r="A15" s="585">
        <v>1</v>
      </c>
      <c r="B15" s="587" t="s">
        <v>2532</v>
      </c>
      <c r="C15" s="585">
        <v>1</v>
      </c>
      <c r="D15" s="629" t="s">
        <v>2283</v>
      </c>
      <c r="E15" s="586" t="s">
        <v>2459</v>
      </c>
      <c r="F15" s="675">
        <v>4.1396800000000004E-2</v>
      </c>
      <c r="G15" s="676">
        <v>2538.48</v>
      </c>
      <c r="H15" s="588">
        <v>487.2</v>
      </c>
      <c r="I15" s="587" t="s">
        <v>549</v>
      </c>
      <c r="J15" s="585">
        <v>1</v>
      </c>
      <c r="K15" s="585" t="s">
        <v>2460</v>
      </c>
      <c r="L15" s="678">
        <v>348</v>
      </c>
      <c r="M15" s="649" t="s">
        <v>2533</v>
      </c>
      <c r="N15" s="679">
        <v>67.071199999999919</v>
      </c>
      <c r="O15" s="679">
        <v>134.15400000000011</v>
      </c>
      <c r="P15" s="589" t="s">
        <v>2534</v>
      </c>
      <c r="Q15" s="680">
        <v>336.67839999999967</v>
      </c>
      <c r="R15" s="569"/>
      <c r="S15" s="553"/>
      <c r="T15" s="553"/>
      <c r="U15" s="553"/>
      <c r="V15" s="553"/>
      <c r="W15" s="553"/>
      <c r="X15" s="553"/>
      <c r="Y15" s="553"/>
      <c r="Z15" s="553"/>
      <c r="AA15" s="553"/>
      <c r="AB15" s="554"/>
      <c r="AC15" s="555"/>
      <c r="AD15" s="556"/>
      <c r="AE15" s="556"/>
      <c r="AF15" s="556"/>
      <c r="AG15" s="556"/>
    </row>
    <row r="16" spans="1:33">
      <c r="A16" s="585">
        <v>2</v>
      </c>
      <c r="B16" s="587" t="s">
        <v>2535</v>
      </c>
      <c r="C16" s="585">
        <v>2</v>
      </c>
      <c r="D16" s="629" t="s">
        <v>2283</v>
      </c>
      <c r="E16" s="586" t="s">
        <v>2342</v>
      </c>
      <c r="F16" s="675">
        <v>4.2200100000000004E-2</v>
      </c>
      <c r="G16" s="676">
        <v>2538.48</v>
      </c>
      <c r="H16" s="588">
        <v>487.2</v>
      </c>
      <c r="I16" s="587" t="s">
        <v>549</v>
      </c>
      <c r="J16" s="585">
        <v>1</v>
      </c>
      <c r="K16" s="585" t="s">
        <v>560</v>
      </c>
      <c r="L16" s="678">
        <v>348</v>
      </c>
      <c r="M16" s="649" t="s">
        <v>2533</v>
      </c>
      <c r="N16" s="679">
        <v>67.071199999999919</v>
      </c>
      <c r="O16" s="679">
        <v>134.15400000000011</v>
      </c>
      <c r="P16" s="589" t="s">
        <v>2534</v>
      </c>
      <c r="Q16" s="680">
        <v>336.67839999999967</v>
      </c>
      <c r="R16" s="696"/>
      <c r="S16" s="553"/>
      <c r="T16" s="553"/>
      <c r="U16" s="553"/>
      <c r="V16" s="553"/>
      <c r="W16" s="553"/>
      <c r="X16" s="553"/>
      <c r="Y16" s="553"/>
      <c r="Z16" s="553"/>
      <c r="AA16" s="553"/>
      <c r="AB16" s="554"/>
      <c r="AC16" s="555"/>
      <c r="AD16" s="556"/>
      <c r="AE16" s="556"/>
      <c r="AF16" s="556"/>
      <c r="AG16" s="556"/>
    </row>
    <row r="17" spans="1:33">
      <c r="A17" s="585">
        <v>3</v>
      </c>
      <c r="B17" s="587" t="s">
        <v>2536</v>
      </c>
      <c r="C17" s="585">
        <v>3</v>
      </c>
      <c r="D17" s="629" t="s">
        <v>2283</v>
      </c>
      <c r="E17" s="586" t="s">
        <v>2343</v>
      </c>
      <c r="F17" s="675">
        <v>3.9628400000000001E-2</v>
      </c>
      <c r="G17" s="676">
        <v>2538.48</v>
      </c>
      <c r="H17" s="588">
        <v>487.2</v>
      </c>
      <c r="I17" s="587" t="s">
        <v>549</v>
      </c>
      <c r="J17" s="585">
        <v>1</v>
      </c>
      <c r="K17" s="585" t="s">
        <v>561</v>
      </c>
      <c r="L17" s="678">
        <v>348</v>
      </c>
      <c r="M17" s="649" t="s">
        <v>2533</v>
      </c>
      <c r="N17" s="679">
        <v>67.071199999999919</v>
      </c>
      <c r="O17" s="679">
        <v>134.15400000000011</v>
      </c>
      <c r="P17" s="589" t="s">
        <v>2534</v>
      </c>
      <c r="Q17" s="680">
        <v>336.67839999999967</v>
      </c>
      <c r="R17" s="696"/>
      <c r="S17" s="553"/>
      <c r="T17" s="553"/>
      <c r="U17" s="553"/>
      <c r="V17" s="553"/>
      <c r="W17" s="553"/>
      <c r="X17" s="553"/>
      <c r="Y17" s="553"/>
      <c r="Z17" s="553"/>
      <c r="AA17" s="553"/>
      <c r="AB17" s="554"/>
      <c r="AC17" s="555"/>
      <c r="AD17" s="556"/>
      <c r="AE17" s="556"/>
      <c r="AF17" s="556"/>
      <c r="AG17" s="556"/>
    </row>
    <row r="18" spans="1:33">
      <c r="A18" s="585">
        <v>4</v>
      </c>
      <c r="B18" s="587" t="s">
        <v>2537</v>
      </c>
      <c r="C18" s="585">
        <v>4</v>
      </c>
      <c r="D18" s="629" t="s">
        <v>2283</v>
      </c>
      <c r="E18" s="586" t="s">
        <v>2344</v>
      </c>
      <c r="F18" s="675">
        <v>4.4687700000000004E-2</v>
      </c>
      <c r="G18" s="676">
        <v>2538.48</v>
      </c>
      <c r="H18" s="588">
        <v>487.2</v>
      </c>
      <c r="I18" s="587" t="s">
        <v>549</v>
      </c>
      <c r="J18" s="585">
        <v>1</v>
      </c>
      <c r="K18" s="585" t="s">
        <v>563</v>
      </c>
      <c r="L18" s="678">
        <v>348</v>
      </c>
      <c r="M18" s="649" t="s">
        <v>2533</v>
      </c>
      <c r="N18" s="679">
        <v>67.071199999999919</v>
      </c>
      <c r="O18" s="679">
        <v>134.15400000000011</v>
      </c>
      <c r="P18" s="589" t="s">
        <v>2534</v>
      </c>
      <c r="Q18" s="680">
        <v>336.67839999999967</v>
      </c>
      <c r="R18" s="696"/>
      <c r="S18" s="553"/>
      <c r="T18" s="553"/>
      <c r="U18" s="553"/>
      <c r="V18" s="553"/>
      <c r="W18" s="553"/>
      <c r="X18" s="553"/>
      <c r="Y18" s="553"/>
      <c r="Z18" s="553"/>
      <c r="AA18" s="553"/>
      <c r="AB18" s="554"/>
      <c r="AC18" s="555"/>
      <c r="AD18" s="556"/>
      <c r="AE18" s="556"/>
      <c r="AF18" s="556"/>
      <c r="AG18" s="556"/>
    </row>
    <row r="19" spans="1:33">
      <c r="A19" s="585">
        <v>5</v>
      </c>
      <c r="B19" s="587" t="s">
        <v>2538</v>
      </c>
      <c r="C19" s="585">
        <v>5</v>
      </c>
      <c r="D19" s="629" t="s">
        <v>2283</v>
      </c>
      <c r="E19" s="586" t="s">
        <v>2345</v>
      </c>
      <c r="F19" s="675">
        <v>4.1790500000000001E-2</v>
      </c>
      <c r="G19" s="676">
        <v>2538.48</v>
      </c>
      <c r="H19" s="588">
        <v>487.2</v>
      </c>
      <c r="I19" s="587" t="s">
        <v>549</v>
      </c>
      <c r="J19" s="585">
        <v>1</v>
      </c>
      <c r="K19" s="585" t="s">
        <v>562</v>
      </c>
      <c r="L19" s="678">
        <v>348</v>
      </c>
      <c r="M19" s="649" t="s">
        <v>2533</v>
      </c>
      <c r="N19" s="679">
        <v>67.071199999999919</v>
      </c>
      <c r="O19" s="679">
        <v>134.15400000000011</v>
      </c>
      <c r="P19" s="589" t="s">
        <v>2534</v>
      </c>
      <c r="Q19" s="680">
        <v>336.67839999999967</v>
      </c>
      <c r="R19" s="696"/>
      <c r="S19" s="553"/>
      <c r="T19" s="553"/>
      <c r="U19" s="553"/>
      <c r="V19" s="553"/>
      <c r="W19" s="553"/>
      <c r="X19" s="553"/>
      <c r="Y19" s="553"/>
      <c r="Z19" s="553"/>
      <c r="AA19" s="553"/>
      <c r="AB19" s="554"/>
      <c r="AC19" s="555"/>
      <c r="AD19" s="556"/>
      <c r="AE19" s="556"/>
      <c r="AF19" s="556"/>
      <c r="AG19" s="556"/>
    </row>
    <row r="20" spans="1:33">
      <c r="A20" s="585">
        <v>6</v>
      </c>
      <c r="B20" s="587" t="s">
        <v>4496</v>
      </c>
      <c r="C20" s="585">
        <v>6</v>
      </c>
      <c r="D20" s="629" t="s">
        <v>2283</v>
      </c>
      <c r="E20" s="586" t="s">
        <v>4501</v>
      </c>
      <c r="F20" s="675">
        <v>4.1790500000000001E-2</v>
      </c>
      <c r="G20" s="676">
        <v>2538.48</v>
      </c>
      <c r="H20" s="588">
        <v>487.2</v>
      </c>
      <c r="I20" s="587" t="s">
        <v>549</v>
      </c>
      <c r="J20" s="585">
        <v>1</v>
      </c>
      <c r="K20" s="585" t="s">
        <v>4506</v>
      </c>
      <c r="L20" s="678">
        <v>348</v>
      </c>
      <c r="M20" s="649" t="s">
        <v>2533</v>
      </c>
      <c r="N20" s="679">
        <v>67.071199999999919</v>
      </c>
      <c r="O20" s="679">
        <v>134.15400000000011</v>
      </c>
      <c r="P20" s="589" t="s">
        <v>2534</v>
      </c>
      <c r="Q20" s="680">
        <v>336.67839999999967</v>
      </c>
      <c r="R20" s="696"/>
      <c r="S20" s="553"/>
      <c r="T20" s="553"/>
      <c r="U20" s="553"/>
      <c r="V20" s="553"/>
      <c r="W20" s="553"/>
      <c r="X20" s="553"/>
      <c r="Y20" s="553"/>
      <c r="Z20" s="553"/>
      <c r="AA20" s="553"/>
      <c r="AB20" s="554"/>
      <c r="AC20" s="555"/>
      <c r="AD20" s="556"/>
      <c r="AE20" s="556"/>
      <c r="AF20" s="556"/>
      <c r="AG20" s="556"/>
    </row>
    <row r="21" spans="1:33">
      <c r="A21" s="585">
        <v>7</v>
      </c>
      <c r="B21" s="587" t="s">
        <v>2539</v>
      </c>
      <c r="C21" s="585">
        <v>7</v>
      </c>
      <c r="D21" s="629" t="s">
        <v>2283</v>
      </c>
      <c r="E21" s="586" t="s">
        <v>2346</v>
      </c>
      <c r="F21" s="675">
        <v>4.3304099999999998E-2</v>
      </c>
      <c r="G21" s="676">
        <v>2538.48</v>
      </c>
      <c r="H21" s="588">
        <v>487.2</v>
      </c>
      <c r="I21" s="587" t="s">
        <v>549</v>
      </c>
      <c r="J21" s="585">
        <v>1</v>
      </c>
      <c r="K21" s="585" t="s">
        <v>564</v>
      </c>
      <c r="L21" s="678">
        <v>348</v>
      </c>
      <c r="M21" s="649" t="s">
        <v>2533</v>
      </c>
      <c r="N21" s="679">
        <v>67.071199999999919</v>
      </c>
      <c r="O21" s="679">
        <v>134.15400000000011</v>
      </c>
      <c r="P21" s="589" t="s">
        <v>2534</v>
      </c>
      <c r="Q21" s="680">
        <v>336.67839999999967</v>
      </c>
      <c r="R21" s="696"/>
      <c r="S21" s="553"/>
      <c r="T21" s="553"/>
      <c r="U21" s="553"/>
      <c r="V21" s="553"/>
      <c r="W21" s="553"/>
      <c r="X21" s="553"/>
      <c r="Y21" s="553"/>
      <c r="Z21" s="553"/>
      <c r="AA21" s="553"/>
      <c r="AB21" s="554"/>
      <c r="AC21" s="555"/>
      <c r="AD21" s="556"/>
      <c r="AE21" s="556"/>
      <c r="AF21" s="556"/>
      <c r="AG21" s="556"/>
    </row>
    <row r="22" spans="1:33">
      <c r="A22" s="585">
        <v>8</v>
      </c>
      <c r="B22" s="587" t="s">
        <v>2540</v>
      </c>
      <c r="C22" s="585">
        <v>8</v>
      </c>
      <c r="D22" s="629" t="s">
        <v>2283</v>
      </c>
      <c r="E22" s="586" t="s">
        <v>2347</v>
      </c>
      <c r="F22" s="675">
        <v>4.3575600000000006E-2</v>
      </c>
      <c r="G22" s="676">
        <v>2538.48</v>
      </c>
      <c r="H22" s="588">
        <v>487.2</v>
      </c>
      <c r="I22" s="587" t="s">
        <v>549</v>
      </c>
      <c r="J22" s="585">
        <v>1</v>
      </c>
      <c r="K22" s="585" t="s">
        <v>565</v>
      </c>
      <c r="L22" s="678">
        <v>348</v>
      </c>
      <c r="M22" s="649" t="s">
        <v>2533</v>
      </c>
      <c r="N22" s="679">
        <v>67.071199999999919</v>
      </c>
      <c r="O22" s="679">
        <v>134.15400000000011</v>
      </c>
      <c r="P22" s="589" t="s">
        <v>2534</v>
      </c>
      <c r="Q22" s="680">
        <v>336.67839999999967</v>
      </c>
      <c r="R22" s="696"/>
      <c r="S22" s="553"/>
      <c r="T22" s="553"/>
      <c r="U22" s="553"/>
      <c r="V22" s="553"/>
      <c r="W22" s="553"/>
      <c r="X22" s="553"/>
      <c r="Y22" s="553"/>
      <c r="Z22" s="553"/>
      <c r="AA22" s="553"/>
      <c r="AB22" s="554"/>
      <c r="AC22" s="555"/>
      <c r="AD22" s="556"/>
      <c r="AE22" s="556"/>
      <c r="AF22" s="556"/>
      <c r="AG22" s="556"/>
    </row>
    <row r="23" spans="1:33">
      <c r="A23" s="585">
        <v>9</v>
      </c>
      <c r="B23" s="587" t="s">
        <v>2544</v>
      </c>
      <c r="C23" s="585">
        <v>9</v>
      </c>
      <c r="D23" s="629" t="s">
        <v>2284</v>
      </c>
      <c r="E23" s="586" t="s">
        <v>2285</v>
      </c>
      <c r="F23" s="675">
        <v>3.65341E-2</v>
      </c>
      <c r="G23" s="676">
        <v>2538.48</v>
      </c>
      <c r="H23" s="588">
        <v>487.2</v>
      </c>
      <c r="I23" s="587" t="s">
        <v>549</v>
      </c>
      <c r="J23" s="585">
        <v>1</v>
      </c>
      <c r="K23" s="585" t="s">
        <v>569</v>
      </c>
      <c r="L23" s="678">
        <v>348</v>
      </c>
      <c r="M23" s="649" t="s">
        <v>2533</v>
      </c>
      <c r="N23" s="679">
        <v>67.071199999999919</v>
      </c>
      <c r="O23" s="679">
        <v>134.15400000000011</v>
      </c>
      <c r="P23" s="589" t="s">
        <v>2534</v>
      </c>
      <c r="Q23" s="680">
        <v>336.67839999999967</v>
      </c>
      <c r="R23" s="696"/>
      <c r="S23" s="553"/>
      <c r="T23" s="553"/>
      <c r="U23" s="553"/>
      <c r="V23" s="553"/>
      <c r="W23" s="553"/>
      <c r="X23" s="553"/>
      <c r="Y23" s="553"/>
      <c r="Z23" s="553"/>
      <c r="AA23" s="553"/>
      <c r="AB23" s="554"/>
      <c r="AC23" s="555"/>
      <c r="AD23" s="556"/>
      <c r="AE23" s="556"/>
      <c r="AF23" s="556"/>
      <c r="AG23" s="556"/>
    </row>
    <row r="24" spans="1:33">
      <c r="A24" s="585">
        <v>10</v>
      </c>
      <c r="B24" s="587" t="s">
        <v>2541</v>
      </c>
      <c r="C24" s="585">
        <v>10</v>
      </c>
      <c r="D24" s="629" t="s">
        <v>2284</v>
      </c>
      <c r="E24" s="586" t="s">
        <v>2348</v>
      </c>
      <c r="F24" s="675">
        <v>4.8256800000000002E-2</v>
      </c>
      <c r="G24" s="676">
        <v>2538.48</v>
      </c>
      <c r="H24" s="588">
        <v>487.2</v>
      </c>
      <c r="I24" s="587" t="s">
        <v>549</v>
      </c>
      <c r="J24" s="585">
        <v>1</v>
      </c>
      <c r="K24" s="585" t="s">
        <v>566</v>
      </c>
      <c r="L24" s="678">
        <v>348</v>
      </c>
      <c r="M24" s="649" t="s">
        <v>2533</v>
      </c>
      <c r="N24" s="679">
        <v>67.071199999999919</v>
      </c>
      <c r="O24" s="679">
        <v>134.15400000000011</v>
      </c>
      <c r="P24" s="589" t="s">
        <v>2534</v>
      </c>
      <c r="Q24" s="680">
        <v>336.67839999999967</v>
      </c>
      <c r="R24" s="696"/>
      <c r="S24" s="553"/>
      <c r="T24" s="553"/>
      <c r="U24" s="553"/>
      <c r="V24" s="553"/>
      <c r="W24" s="553"/>
      <c r="X24" s="553"/>
      <c r="Y24" s="553"/>
      <c r="Z24" s="553"/>
      <c r="AA24" s="553"/>
      <c r="AB24" s="554"/>
      <c r="AC24" s="555"/>
      <c r="AD24" s="556"/>
      <c r="AE24" s="556"/>
      <c r="AF24" s="556"/>
      <c r="AG24" s="556"/>
    </row>
    <row r="25" spans="1:33">
      <c r="A25" s="585">
        <v>11</v>
      </c>
      <c r="B25" s="587" t="s">
        <v>2542</v>
      </c>
      <c r="C25" s="585">
        <v>11</v>
      </c>
      <c r="D25" s="629" t="s">
        <v>2284</v>
      </c>
      <c r="E25" s="586" t="s">
        <v>2349</v>
      </c>
      <c r="F25" s="675">
        <v>4.8256800000000002E-2</v>
      </c>
      <c r="G25" s="676">
        <v>2538.48</v>
      </c>
      <c r="H25" s="588">
        <v>487.2</v>
      </c>
      <c r="I25" s="587" t="s">
        <v>549</v>
      </c>
      <c r="J25" s="585">
        <v>1</v>
      </c>
      <c r="K25" s="585" t="s">
        <v>567</v>
      </c>
      <c r="L25" s="678">
        <v>348</v>
      </c>
      <c r="M25" s="649" t="s">
        <v>2533</v>
      </c>
      <c r="N25" s="679">
        <v>67.071199999999919</v>
      </c>
      <c r="O25" s="679">
        <v>134.15400000000011</v>
      </c>
      <c r="P25" s="589" t="s">
        <v>2534</v>
      </c>
      <c r="Q25" s="680">
        <v>336.67839999999967</v>
      </c>
      <c r="R25" s="696"/>
      <c r="S25" s="553"/>
      <c r="T25" s="553"/>
      <c r="U25" s="553"/>
      <c r="V25" s="553"/>
      <c r="W25" s="553"/>
      <c r="X25" s="553"/>
      <c r="Y25" s="553"/>
      <c r="Z25" s="553"/>
      <c r="AA25" s="553"/>
      <c r="AB25" s="554"/>
      <c r="AC25" s="555"/>
      <c r="AD25" s="556"/>
      <c r="AE25" s="556"/>
      <c r="AF25" s="556"/>
      <c r="AG25" s="556"/>
    </row>
    <row r="26" spans="1:33">
      <c r="A26" s="585">
        <v>12</v>
      </c>
      <c r="B26" s="587" t="s">
        <v>2543</v>
      </c>
      <c r="C26" s="585">
        <v>12</v>
      </c>
      <c r="D26" s="629" t="s">
        <v>2284</v>
      </c>
      <c r="E26" s="586" t="s">
        <v>2350</v>
      </c>
      <c r="F26" s="675">
        <v>4.8256800000000002E-2</v>
      </c>
      <c r="G26" s="676">
        <v>2538.48</v>
      </c>
      <c r="H26" s="588">
        <v>487.2</v>
      </c>
      <c r="I26" s="587" t="s">
        <v>549</v>
      </c>
      <c r="J26" s="585">
        <v>1</v>
      </c>
      <c r="K26" s="585" t="s">
        <v>568</v>
      </c>
      <c r="L26" s="678">
        <v>348</v>
      </c>
      <c r="M26" s="649" t="s">
        <v>2533</v>
      </c>
      <c r="N26" s="679">
        <v>67.071199999999919</v>
      </c>
      <c r="O26" s="679">
        <v>134.15400000000011</v>
      </c>
      <c r="P26" s="589" t="s">
        <v>2534</v>
      </c>
      <c r="Q26" s="680">
        <v>336.67839999999967</v>
      </c>
      <c r="R26" s="696"/>
      <c r="S26" s="553"/>
      <c r="T26" s="553"/>
      <c r="U26" s="553"/>
      <c r="V26" s="553"/>
      <c r="W26" s="553"/>
      <c r="X26" s="553"/>
      <c r="Y26" s="553"/>
      <c r="Z26" s="553"/>
      <c r="AA26" s="553"/>
      <c r="AB26" s="554"/>
      <c r="AC26" s="555"/>
      <c r="AD26" s="556"/>
      <c r="AE26" s="556"/>
      <c r="AF26" s="556"/>
      <c r="AG26" s="556"/>
    </row>
    <row r="27" spans="1:33">
      <c r="A27" s="585">
        <v>13</v>
      </c>
      <c r="B27" s="587" t="s">
        <v>2545</v>
      </c>
      <c r="C27" s="585">
        <v>13</v>
      </c>
      <c r="D27" s="629" t="s">
        <v>2284</v>
      </c>
      <c r="E27" s="586" t="s">
        <v>2351</v>
      </c>
      <c r="F27" s="675">
        <v>3.65341E-2</v>
      </c>
      <c r="G27" s="676">
        <v>2538.48</v>
      </c>
      <c r="H27" s="588">
        <v>487.2</v>
      </c>
      <c r="I27" s="587" t="s">
        <v>549</v>
      </c>
      <c r="J27" s="585">
        <v>1</v>
      </c>
      <c r="K27" s="585" t="s">
        <v>570</v>
      </c>
      <c r="L27" s="678">
        <v>348</v>
      </c>
      <c r="M27" s="649" t="s">
        <v>2533</v>
      </c>
      <c r="N27" s="679">
        <v>67.071199999999919</v>
      </c>
      <c r="O27" s="679">
        <v>134.15400000000011</v>
      </c>
      <c r="P27" s="589" t="s">
        <v>2534</v>
      </c>
      <c r="Q27" s="680">
        <v>336.67839999999967</v>
      </c>
      <c r="R27" s="696"/>
      <c r="S27" s="553"/>
      <c r="T27" s="553"/>
      <c r="U27" s="553"/>
      <c r="V27" s="553"/>
      <c r="W27" s="553"/>
      <c r="X27" s="553"/>
      <c r="Y27" s="553"/>
      <c r="Z27" s="553"/>
      <c r="AA27" s="553"/>
      <c r="AB27" s="554"/>
      <c r="AC27" s="555"/>
      <c r="AD27" s="556"/>
      <c r="AE27" s="556"/>
      <c r="AF27" s="556"/>
      <c r="AG27" s="556"/>
    </row>
    <row r="28" spans="1:33">
      <c r="A28" s="585">
        <v>14</v>
      </c>
      <c r="B28" s="587" t="s">
        <v>2546</v>
      </c>
      <c r="C28" s="585">
        <v>14</v>
      </c>
      <c r="D28" s="629" t="s">
        <v>2284</v>
      </c>
      <c r="E28" s="586" t="s">
        <v>2352</v>
      </c>
      <c r="F28" s="675">
        <v>5.4852299999999993E-2</v>
      </c>
      <c r="G28" s="676">
        <v>2538.48</v>
      </c>
      <c r="H28" s="588">
        <v>487.2</v>
      </c>
      <c r="I28" s="587" t="s">
        <v>549</v>
      </c>
      <c r="J28" s="585">
        <v>1</v>
      </c>
      <c r="K28" s="585" t="s">
        <v>571</v>
      </c>
      <c r="L28" s="678">
        <v>348</v>
      </c>
      <c r="M28" s="649" t="s">
        <v>2533</v>
      </c>
      <c r="N28" s="679">
        <v>67.071199999999919</v>
      </c>
      <c r="O28" s="679">
        <v>134.15400000000011</v>
      </c>
      <c r="P28" s="589" t="s">
        <v>2534</v>
      </c>
      <c r="Q28" s="680">
        <v>336.67839999999967</v>
      </c>
      <c r="R28" s="696"/>
      <c r="S28" s="553"/>
      <c r="T28" s="553"/>
      <c r="U28" s="553"/>
      <c r="V28" s="553"/>
      <c r="W28" s="553"/>
      <c r="X28" s="553"/>
      <c r="Y28" s="553"/>
      <c r="Z28" s="553"/>
      <c r="AA28" s="553"/>
      <c r="AB28" s="554"/>
      <c r="AC28" s="555"/>
      <c r="AD28" s="556"/>
      <c r="AE28" s="556"/>
      <c r="AF28" s="556"/>
      <c r="AG28" s="556"/>
    </row>
    <row r="29" spans="1:33">
      <c r="A29" s="585">
        <v>15</v>
      </c>
      <c r="B29" s="587" t="s">
        <v>2547</v>
      </c>
      <c r="C29" s="585">
        <v>15</v>
      </c>
      <c r="D29" s="629" t="s">
        <v>2284</v>
      </c>
      <c r="E29" s="586" t="s">
        <v>2353</v>
      </c>
      <c r="F29" s="675">
        <v>4.8256800000000002E-2</v>
      </c>
      <c r="G29" s="676">
        <v>2538.48</v>
      </c>
      <c r="H29" s="588">
        <v>487.2</v>
      </c>
      <c r="I29" s="587" t="s">
        <v>549</v>
      </c>
      <c r="J29" s="585">
        <v>1</v>
      </c>
      <c r="K29" s="585" t="s">
        <v>572</v>
      </c>
      <c r="L29" s="678">
        <v>348</v>
      </c>
      <c r="M29" s="649" t="s">
        <v>2533</v>
      </c>
      <c r="N29" s="679">
        <v>67.071199999999919</v>
      </c>
      <c r="O29" s="679">
        <v>134.15400000000011</v>
      </c>
      <c r="P29" s="589" t="s">
        <v>2534</v>
      </c>
      <c r="Q29" s="680">
        <v>336.67839999999967</v>
      </c>
      <c r="R29" s="696"/>
      <c r="S29" s="553"/>
      <c r="T29" s="553"/>
      <c r="U29" s="553"/>
      <c r="V29" s="553"/>
      <c r="W29" s="553"/>
      <c r="X29" s="553"/>
      <c r="Y29" s="553"/>
      <c r="Z29" s="553"/>
      <c r="AA29" s="553"/>
      <c r="AB29" s="554"/>
      <c r="AC29" s="555"/>
      <c r="AD29" s="556"/>
      <c r="AE29" s="556"/>
      <c r="AF29" s="556"/>
      <c r="AG29" s="556"/>
    </row>
    <row r="30" spans="1:33">
      <c r="A30" s="585">
        <v>16</v>
      </c>
      <c r="B30" s="587" t="s">
        <v>2548</v>
      </c>
      <c r="C30" s="585">
        <v>16</v>
      </c>
      <c r="D30" s="629" t="s">
        <v>2284</v>
      </c>
      <c r="E30" s="586" t="s">
        <v>2354</v>
      </c>
      <c r="F30" s="675">
        <v>3.65341E-2</v>
      </c>
      <c r="G30" s="676">
        <v>2538.48</v>
      </c>
      <c r="H30" s="588">
        <v>487.2</v>
      </c>
      <c r="I30" s="587" t="s">
        <v>549</v>
      </c>
      <c r="J30" s="585">
        <v>1</v>
      </c>
      <c r="K30" s="585" t="s">
        <v>573</v>
      </c>
      <c r="L30" s="678">
        <v>348</v>
      </c>
      <c r="M30" s="649" t="s">
        <v>2533</v>
      </c>
      <c r="N30" s="679">
        <v>67.071199999999919</v>
      </c>
      <c r="O30" s="679">
        <v>134.15400000000011</v>
      </c>
      <c r="P30" s="589" t="s">
        <v>2534</v>
      </c>
      <c r="Q30" s="680">
        <v>336.67839999999967</v>
      </c>
      <c r="R30" s="696"/>
      <c r="S30" s="553"/>
      <c r="T30" s="553"/>
      <c r="U30" s="553"/>
      <c r="V30" s="553"/>
      <c r="W30" s="553"/>
      <c r="X30" s="553"/>
      <c r="Y30" s="553"/>
      <c r="Z30" s="553"/>
      <c r="AA30" s="553"/>
      <c r="AB30" s="554"/>
      <c r="AC30" s="555"/>
      <c r="AD30" s="556"/>
      <c r="AE30" s="556"/>
      <c r="AF30" s="556"/>
      <c r="AG30" s="556"/>
    </row>
    <row r="31" spans="1:33">
      <c r="A31" s="585">
        <v>17</v>
      </c>
      <c r="B31" s="587" t="s">
        <v>2549</v>
      </c>
      <c r="C31" s="585">
        <v>17</v>
      </c>
      <c r="D31" s="629" t="s">
        <v>2284</v>
      </c>
      <c r="E31" s="586" t="s">
        <v>2355</v>
      </c>
      <c r="F31" s="675">
        <v>3.65341E-2</v>
      </c>
      <c r="G31" s="676">
        <v>2538.48</v>
      </c>
      <c r="H31" s="588">
        <v>487.2</v>
      </c>
      <c r="I31" s="587" t="s">
        <v>549</v>
      </c>
      <c r="J31" s="585">
        <v>1</v>
      </c>
      <c r="K31" s="585" t="s">
        <v>574</v>
      </c>
      <c r="L31" s="678">
        <v>348</v>
      </c>
      <c r="M31" s="649" t="s">
        <v>2533</v>
      </c>
      <c r="N31" s="679">
        <v>67.071199999999919</v>
      </c>
      <c r="O31" s="679">
        <v>134.15400000000011</v>
      </c>
      <c r="P31" s="589" t="s">
        <v>2534</v>
      </c>
      <c r="Q31" s="680">
        <v>336.67839999999967</v>
      </c>
      <c r="R31" s="696"/>
      <c r="S31" s="553"/>
      <c r="T31" s="553"/>
      <c r="U31" s="553"/>
      <c r="V31" s="553"/>
      <c r="W31" s="553"/>
      <c r="X31" s="553"/>
      <c r="Y31" s="553"/>
      <c r="Z31" s="553"/>
      <c r="AA31" s="553"/>
      <c r="AB31" s="554"/>
      <c r="AC31" s="555"/>
      <c r="AD31" s="556"/>
      <c r="AE31" s="556"/>
      <c r="AF31" s="556"/>
      <c r="AG31" s="556"/>
    </row>
    <row r="32" spans="1:33">
      <c r="A32" s="585">
        <v>18</v>
      </c>
      <c r="B32" s="587" t="s">
        <v>2550</v>
      </c>
      <c r="C32" s="585">
        <v>18</v>
      </c>
      <c r="D32" s="629" t="s">
        <v>2284</v>
      </c>
      <c r="E32" s="586" t="s">
        <v>2356</v>
      </c>
      <c r="F32" s="675">
        <v>5.4852299999999993E-2</v>
      </c>
      <c r="G32" s="676">
        <v>2538.48</v>
      </c>
      <c r="H32" s="588">
        <v>487.2</v>
      </c>
      <c r="I32" s="587" t="s">
        <v>549</v>
      </c>
      <c r="J32" s="585">
        <v>1</v>
      </c>
      <c r="K32" s="585" t="s">
        <v>575</v>
      </c>
      <c r="L32" s="678">
        <v>348</v>
      </c>
      <c r="M32" s="649" t="s">
        <v>2533</v>
      </c>
      <c r="N32" s="679">
        <v>67.071199999999919</v>
      </c>
      <c r="O32" s="679">
        <v>134.15400000000011</v>
      </c>
      <c r="P32" s="589" t="s">
        <v>2534</v>
      </c>
      <c r="Q32" s="680">
        <v>336.67839999999967</v>
      </c>
      <c r="R32" s="696"/>
      <c r="S32" s="553"/>
      <c r="T32" s="553"/>
      <c r="U32" s="553"/>
      <c r="V32" s="553"/>
      <c r="W32" s="553"/>
      <c r="X32" s="553"/>
      <c r="Y32" s="553"/>
      <c r="Z32" s="553"/>
      <c r="AA32" s="553"/>
      <c r="AB32" s="554"/>
      <c r="AC32" s="555"/>
      <c r="AD32" s="556"/>
      <c r="AE32" s="556"/>
      <c r="AF32" s="556"/>
      <c r="AG32" s="556"/>
    </row>
    <row r="33" spans="1:33">
      <c r="A33" s="585">
        <v>19</v>
      </c>
      <c r="B33" s="587" t="s">
        <v>2551</v>
      </c>
      <c r="C33" s="585">
        <v>19</v>
      </c>
      <c r="D33" s="629" t="s">
        <v>2286</v>
      </c>
      <c r="E33" s="586" t="s">
        <v>2357</v>
      </c>
      <c r="F33" s="675">
        <v>4.3188899999999995E-2</v>
      </c>
      <c r="G33" s="676">
        <v>2538.48</v>
      </c>
      <c r="H33" s="588">
        <v>487.2</v>
      </c>
      <c r="I33" s="587" t="s">
        <v>549</v>
      </c>
      <c r="J33" s="585">
        <v>1</v>
      </c>
      <c r="K33" s="585" t="s">
        <v>576</v>
      </c>
      <c r="L33" s="678">
        <v>348</v>
      </c>
      <c r="M33" s="649" t="s">
        <v>2533</v>
      </c>
      <c r="N33" s="679">
        <v>67.071199999999919</v>
      </c>
      <c r="O33" s="679">
        <v>134.15400000000011</v>
      </c>
      <c r="P33" s="589" t="s">
        <v>2534</v>
      </c>
      <c r="Q33" s="680">
        <v>336.67839999999967</v>
      </c>
      <c r="R33" s="696"/>
      <c r="S33" s="553"/>
      <c r="T33" s="553"/>
      <c r="U33" s="553"/>
      <c r="V33" s="553"/>
      <c r="W33" s="553"/>
      <c r="X33" s="553"/>
      <c r="Y33" s="553"/>
      <c r="Z33" s="553"/>
      <c r="AA33" s="553"/>
      <c r="AB33" s="554"/>
      <c r="AC33" s="555"/>
      <c r="AD33" s="556"/>
      <c r="AE33" s="556"/>
      <c r="AF33" s="556"/>
      <c r="AG33" s="556"/>
    </row>
    <row r="34" spans="1:33">
      <c r="A34" s="585">
        <v>20</v>
      </c>
      <c r="B34" s="587" t="s">
        <v>2552</v>
      </c>
      <c r="C34" s="585">
        <v>20</v>
      </c>
      <c r="D34" s="629" t="s">
        <v>2286</v>
      </c>
      <c r="E34" s="586" t="s">
        <v>2358</v>
      </c>
      <c r="F34" s="675">
        <v>4.3922800000000005E-2</v>
      </c>
      <c r="G34" s="676">
        <v>2538.48</v>
      </c>
      <c r="H34" s="588">
        <v>487.2</v>
      </c>
      <c r="I34" s="587" t="s">
        <v>549</v>
      </c>
      <c r="J34" s="585">
        <v>1</v>
      </c>
      <c r="K34" s="585" t="s">
        <v>577</v>
      </c>
      <c r="L34" s="678">
        <v>348</v>
      </c>
      <c r="M34" s="649" t="s">
        <v>2533</v>
      </c>
      <c r="N34" s="679">
        <v>67.071199999999919</v>
      </c>
      <c r="O34" s="679">
        <v>134.15400000000011</v>
      </c>
      <c r="P34" s="589" t="s">
        <v>2534</v>
      </c>
      <c r="Q34" s="680">
        <v>336.67839999999967</v>
      </c>
      <c r="R34" s="696"/>
      <c r="S34" s="553"/>
      <c r="T34" s="553"/>
      <c r="U34" s="553"/>
      <c r="V34" s="553"/>
      <c r="W34" s="553"/>
      <c r="X34" s="553"/>
      <c r="Y34" s="553"/>
      <c r="Z34" s="553"/>
      <c r="AA34" s="553"/>
      <c r="AB34" s="554"/>
      <c r="AC34" s="555"/>
      <c r="AD34" s="556"/>
      <c r="AE34" s="556"/>
      <c r="AF34" s="556"/>
      <c r="AG34" s="556"/>
    </row>
    <row r="35" spans="1:33">
      <c r="A35" s="585">
        <v>21</v>
      </c>
      <c r="B35" s="587" t="s">
        <v>2553</v>
      </c>
      <c r="C35" s="585">
        <v>21</v>
      </c>
      <c r="D35" s="629" t="s">
        <v>2286</v>
      </c>
      <c r="E35" s="586" t="s">
        <v>2359</v>
      </c>
      <c r="F35" s="675">
        <v>4.1958099999999998E-2</v>
      </c>
      <c r="G35" s="676">
        <v>2538.48</v>
      </c>
      <c r="H35" s="588">
        <v>487.2</v>
      </c>
      <c r="I35" s="587" t="s">
        <v>549</v>
      </c>
      <c r="J35" s="585">
        <v>1</v>
      </c>
      <c r="K35" s="585" t="s">
        <v>578</v>
      </c>
      <c r="L35" s="678">
        <v>348</v>
      </c>
      <c r="M35" s="649" t="s">
        <v>2533</v>
      </c>
      <c r="N35" s="679">
        <v>67.071199999999919</v>
      </c>
      <c r="O35" s="679">
        <v>134.15400000000011</v>
      </c>
      <c r="P35" s="589" t="s">
        <v>2534</v>
      </c>
      <c r="Q35" s="680">
        <v>336.67839999999967</v>
      </c>
      <c r="R35" s="696"/>
      <c r="S35" s="553"/>
      <c r="T35" s="553"/>
      <c r="U35" s="553"/>
      <c r="V35" s="553"/>
      <c r="W35" s="553"/>
      <c r="X35" s="553"/>
      <c r="Y35" s="553"/>
      <c r="Z35" s="553"/>
      <c r="AA35" s="553"/>
      <c r="AB35" s="554"/>
      <c r="AC35" s="555"/>
      <c r="AD35" s="556"/>
      <c r="AE35" s="556"/>
      <c r="AF35" s="556"/>
      <c r="AG35" s="556"/>
    </row>
    <row r="36" spans="1:33">
      <c r="A36" s="585">
        <v>22</v>
      </c>
      <c r="B36" s="587" t="s">
        <v>2554</v>
      </c>
      <c r="C36" s="585">
        <v>22</v>
      </c>
      <c r="D36" s="629" t="s">
        <v>2286</v>
      </c>
      <c r="E36" s="586" t="s">
        <v>2360</v>
      </c>
      <c r="F36" s="675">
        <v>4.1916000000000002E-2</v>
      </c>
      <c r="G36" s="676">
        <v>2538.48</v>
      </c>
      <c r="H36" s="588">
        <v>487.2</v>
      </c>
      <c r="I36" s="587" t="s">
        <v>549</v>
      </c>
      <c r="J36" s="585">
        <v>1</v>
      </c>
      <c r="K36" s="585" t="s">
        <v>579</v>
      </c>
      <c r="L36" s="678">
        <v>348</v>
      </c>
      <c r="M36" s="649" t="s">
        <v>2533</v>
      </c>
      <c r="N36" s="679">
        <v>67.071199999999919</v>
      </c>
      <c r="O36" s="679">
        <v>134.15400000000011</v>
      </c>
      <c r="P36" s="589" t="s">
        <v>2534</v>
      </c>
      <c r="Q36" s="680">
        <v>336.67839999999967</v>
      </c>
      <c r="R36" s="696"/>
      <c r="S36" s="553"/>
      <c r="T36" s="553"/>
      <c r="U36" s="553"/>
      <c r="V36" s="553"/>
      <c r="W36" s="553"/>
      <c r="X36" s="553"/>
      <c r="Y36" s="553"/>
      <c r="Z36" s="553"/>
      <c r="AA36" s="553"/>
      <c r="AB36" s="554"/>
      <c r="AC36" s="555"/>
      <c r="AD36" s="556"/>
      <c r="AE36" s="556"/>
      <c r="AF36" s="556"/>
      <c r="AG36" s="556"/>
    </row>
    <row r="37" spans="1:33">
      <c r="A37" s="585">
        <v>23</v>
      </c>
      <c r="B37" s="587" t="s">
        <v>2555</v>
      </c>
      <c r="C37" s="585">
        <v>23</v>
      </c>
      <c r="D37" s="629" t="s">
        <v>2286</v>
      </c>
      <c r="E37" s="586" t="s">
        <v>2361</v>
      </c>
      <c r="F37" s="675">
        <v>3.9858600000000001E-2</v>
      </c>
      <c r="G37" s="676">
        <v>2538.48</v>
      </c>
      <c r="H37" s="588">
        <v>487.2</v>
      </c>
      <c r="I37" s="587" t="s">
        <v>549</v>
      </c>
      <c r="J37" s="585">
        <v>1</v>
      </c>
      <c r="K37" s="585" t="s">
        <v>580</v>
      </c>
      <c r="L37" s="678">
        <v>348</v>
      </c>
      <c r="M37" s="649" t="s">
        <v>2533</v>
      </c>
      <c r="N37" s="679">
        <v>67.071199999999919</v>
      </c>
      <c r="O37" s="679">
        <v>134.15400000000011</v>
      </c>
      <c r="P37" s="589" t="s">
        <v>2534</v>
      </c>
      <c r="Q37" s="680">
        <v>336.67839999999967</v>
      </c>
      <c r="R37" s="696"/>
      <c r="S37" s="553"/>
      <c r="T37" s="553"/>
      <c r="U37" s="553"/>
      <c r="V37" s="553"/>
      <c r="W37" s="553"/>
      <c r="X37" s="553"/>
      <c r="Y37" s="553"/>
      <c r="Z37" s="553"/>
      <c r="AA37" s="553"/>
      <c r="AB37" s="554"/>
      <c r="AC37" s="555"/>
      <c r="AD37" s="556"/>
      <c r="AE37" s="556"/>
      <c r="AF37" s="556"/>
      <c r="AG37" s="556"/>
    </row>
    <row r="38" spans="1:33">
      <c r="A38" s="585">
        <v>24</v>
      </c>
      <c r="B38" s="587" t="s">
        <v>2556</v>
      </c>
      <c r="C38" s="585">
        <v>24</v>
      </c>
      <c r="D38" s="629" t="s">
        <v>2286</v>
      </c>
      <c r="E38" s="586" t="s">
        <v>2362</v>
      </c>
      <c r="F38" s="675">
        <v>4.4803300000000004E-2</v>
      </c>
      <c r="G38" s="676">
        <v>2538.48</v>
      </c>
      <c r="H38" s="588">
        <v>487.2</v>
      </c>
      <c r="I38" s="587" t="s">
        <v>549</v>
      </c>
      <c r="J38" s="585">
        <v>1</v>
      </c>
      <c r="K38" s="585" t="s">
        <v>581</v>
      </c>
      <c r="L38" s="678">
        <v>348</v>
      </c>
      <c r="M38" s="649" t="s">
        <v>2533</v>
      </c>
      <c r="N38" s="679">
        <v>67.071199999999919</v>
      </c>
      <c r="O38" s="679">
        <v>134.15400000000011</v>
      </c>
      <c r="P38" s="589" t="s">
        <v>2534</v>
      </c>
      <c r="Q38" s="680">
        <v>336.67839999999967</v>
      </c>
      <c r="R38" s="696"/>
      <c r="S38" s="553"/>
      <c r="T38" s="553"/>
      <c r="U38" s="553"/>
      <c r="V38" s="553"/>
      <c r="W38" s="553"/>
      <c r="X38" s="553"/>
      <c r="Y38" s="553"/>
      <c r="Z38" s="553"/>
      <c r="AA38" s="553"/>
      <c r="AB38" s="554"/>
      <c r="AC38" s="555"/>
      <c r="AD38" s="556"/>
      <c r="AE38" s="556"/>
      <c r="AF38" s="556"/>
      <c r="AG38" s="556"/>
    </row>
    <row r="39" spans="1:33">
      <c r="A39" s="585">
        <v>25</v>
      </c>
      <c r="B39" s="587" t="s">
        <v>2557</v>
      </c>
      <c r="C39" s="585">
        <v>25</v>
      </c>
      <c r="D39" s="629" t="s">
        <v>2286</v>
      </c>
      <c r="E39" s="586" t="s">
        <v>2363</v>
      </c>
      <c r="F39" s="675">
        <v>4.4803300000000004E-2</v>
      </c>
      <c r="G39" s="676">
        <v>2538.48</v>
      </c>
      <c r="H39" s="588">
        <v>487.2</v>
      </c>
      <c r="I39" s="587" t="s">
        <v>549</v>
      </c>
      <c r="J39" s="585">
        <v>1</v>
      </c>
      <c r="K39" s="585" t="s">
        <v>582</v>
      </c>
      <c r="L39" s="678">
        <v>348</v>
      </c>
      <c r="M39" s="649" t="s">
        <v>2533</v>
      </c>
      <c r="N39" s="679">
        <v>67.071199999999919</v>
      </c>
      <c r="O39" s="679">
        <v>134.15400000000011</v>
      </c>
      <c r="P39" s="589" t="s">
        <v>2534</v>
      </c>
      <c r="Q39" s="680">
        <v>336.67839999999967</v>
      </c>
      <c r="R39" s="696"/>
      <c r="S39" s="553"/>
      <c r="T39" s="553"/>
      <c r="U39" s="553"/>
      <c r="V39" s="553"/>
      <c r="W39" s="553"/>
      <c r="X39" s="553"/>
      <c r="Y39" s="553"/>
      <c r="Z39" s="553"/>
      <c r="AA39" s="553"/>
      <c r="AB39" s="554"/>
      <c r="AC39" s="555"/>
      <c r="AD39" s="556"/>
      <c r="AE39" s="556"/>
      <c r="AF39" s="556"/>
      <c r="AG39" s="556"/>
    </row>
    <row r="40" spans="1:33">
      <c r="A40" s="585">
        <v>26</v>
      </c>
      <c r="B40" s="587" t="s">
        <v>2558</v>
      </c>
      <c r="C40" s="585">
        <v>26</v>
      </c>
      <c r="D40" s="629" t="s">
        <v>2286</v>
      </c>
      <c r="E40" s="586" t="s">
        <v>2364</v>
      </c>
      <c r="F40" s="675">
        <v>4.1958099999999998E-2</v>
      </c>
      <c r="G40" s="676">
        <v>2538.48</v>
      </c>
      <c r="H40" s="588">
        <v>487.2</v>
      </c>
      <c r="I40" s="587" t="s">
        <v>549</v>
      </c>
      <c r="J40" s="585">
        <v>1</v>
      </c>
      <c r="K40" s="585" t="s">
        <v>583</v>
      </c>
      <c r="L40" s="678">
        <v>348</v>
      </c>
      <c r="M40" s="649" t="s">
        <v>2533</v>
      </c>
      <c r="N40" s="679">
        <v>67.071199999999919</v>
      </c>
      <c r="O40" s="679">
        <v>134.15400000000011</v>
      </c>
      <c r="P40" s="589" t="s">
        <v>2534</v>
      </c>
      <c r="Q40" s="680">
        <v>336.67839999999967</v>
      </c>
      <c r="R40" s="696"/>
      <c r="S40" s="553"/>
      <c r="T40" s="553"/>
      <c r="U40" s="553"/>
      <c r="V40" s="553"/>
      <c r="W40" s="553"/>
      <c r="X40" s="553"/>
      <c r="Y40" s="553"/>
      <c r="Z40" s="553"/>
      <c r="AA40" s="553"/>
      <c r="AB40" s="554"/>
      <c r="AC40" s="555"/>
      <c r="AD40" s="556"/>
      <c r="AE40" s="556"/>
      <c r="AF40" s="556"/>
      <c r="AG40" s="556"/>
    </row>
    <row r="41" spans="1:33">
      <c r="A41" s="585">
        <v>27</v>
      </c>
      <c r="B41" s="587" t="s">
        <v>2559</v>
      </c>
      <c r="C41" s="585">
        <v>27</v>
      </c>
      <c r="D41" s="629" t="s">
        <v>2286</v>
      </c>
      <c r="E41" s="586" t="s">
        <v>2461</v>
      </c>
      <c r="F41" s="675">
        <v>4.4498599999999999E-2</v>
      </c>
      <c r="G41" s="676">
        <v>2538.48</v>
      </c>
      <c r="H41" s="588">
        <v>487.2</v>
      </c>
      <c r="I41" s="587" t="s">
        <v>549</v>
      </c>
      <c r="J41" s="585">
        <v>1</v>
      </c>
      <c r="K41" s="585" t="s">
        <v>2462</v>
      </c>
      <c r="L41" s="678">
        <v>348</v>
      </c>
      <c r="M41" s="649" t="s">
        <v>2533</v>
      </c>
      <c r="N41" s="679">
        <v>67.071199999999919</v>
      </c>
      <c r="O41" s="679">
        <v>134.15400000000011</v>
      </c>
      <c r="P41" s="589" t="s">
        <v>2534</v>
      </c>
      <c r="Q41" s="680">
        <v>336.67839999999967</v>
      </c>
      <c r="R41" s="696"/>
      <c r="S41" s="553"/>
      <c r="T41" s="553"/>
      <c r="U41" s="553"/>
      <c r="V41" s="553"/>
      <c r="W41" s="553"/>
      <c r="X41" s="553"/>
      <c r="Y41" s="553"/>
      <c r="Z41" s="553"/>
      <c r="AA41" s="553"/>
      <c r="AB41" s="554"/>
      <c r="AC41" s="555"/>
      <c r="AD41" s="556"/>
      <c r="AE41" s="556"/>
      <c r="AF41" s="556"/>
      <c r="AG41" s="556"/>
    </row>
    <row r="42" spans="1:33">
      <c r="A42" s="585">
        <v>28</v>
      </c>
      <c r="B42" s="587" t="s">
        <v>2560</v>
      </c>
      <c r="C42" s="585">
        <v>28</v>
      </c>
      <c r="D42" s="629" t="s">
        <v>2286</v>
      </c>
      <c r="E42" s="586" t="s">
        <v>2365</v>
      </c>
      <c r="F42" s="675">
        <v>4.7502099999999998E-2</v>
      </c>
      <c r="G42" s="676">
        <v>2538.48</v>
      </c>
      <c r="H42" s="588">
        <v>487.2</v>
      </c>
      <c r="I42" s="587" t="s">
        <v>549</v>
      </c>
      <c r="J42" s="585">
        <v>1</v>
      </c>
      <c r="K42" s="585" t="s">
        <v>584</v>
      </c>
      <c r="L42" s="678">
        <v>348</v>
      </c>
      <c r="M42" s="649" t="s">
        <v>2533</v>
      </c>
      <c r="N42" s="679">
        <v>67.071199999999919</v>
      </c>
      <c r="O42" s="679">
        <v>134.15400000000011</v>
      </c>
      <c r="P42" s="589" t="s">
        <v>2534</v>
      </c>
      <c r="Q42" s="680">
        <v>336.67839999999967</v>
      </c>
      <c r="R42" s="696"/>
      <c r="S42" s="553"/>
      <c r="T42" s="553"/>
      <c r="U42" s="553"/>
      <c r="V42" s="553"/>
      <c r="W42" s="553"/>
      <c r="X42" s="553"/>
      <c r="Y42" s="553"/>
      <c r="Z42" s="553"/>
      <c r="AA42" s="553"/>
      <c r="AB42" s="554"/>
      <c r="AC42" s="555"/>
      <c r="AD42" s="556"/>
      <c r="AE42" s="556"/>
      <c r="AF42" s="556"/>
      <c r="AG42" s="556"/>
    </row>
    <row r="43" spans="1:33">
      <c r="A43" s="585">
        <v>29</v>
      </c>
      <c r="B43" s="587" t="s">
        <v>2561</v>
      </c>
      <c r="C43" s="585">
        <v>29</v>
      </c>
      <c r="D43" s="629" t="s">
        <v>2286</v>
      </c>
      <c r="E43" s="586" t="s">
        <v>2366</v>
      </c>
      <c r="F43" s="675">
        <v>4.53982E-2</v>
      </c>
      <c r="G43" s="676">
        <v>2538.48</v>
      </c>
      <c r="H43" s="588">
        <v>487.2</v>
      </c>
      <c r="I43" s="587" t="s">
        <v>549</v>
      </c>
      <c r="J43" s="585">
        <v>1</v>
      </c>
      <c r="K43" s="585" t="s">
        <v>585</v>
      </c>
      <c r="L43" s="678">
        <v>348</v>
      </c>
      <c r="M43" s="649" t="s">
        <v>2533</v>
      </c>
      <c r="N43" s="679">
        <v>67.071199999999919</v>
      </c>
      <c r="O43" s="679">
        <v>134.15400000000011</v>
      </c>
      <c r="P43" s="589" t="s">
        <v>2534</v>
      </c>
      <c r="Q43" s="680">
        <v>336.67839999999967</v>
      </c>
      <c r="R43" s="696"/>
      <c r="S43" s="553"/>
      <c r="T43" s="553"/>
      <c r="U43" s="553"/>
      <c r="V43" s="553"/>
      <c r="W43" s="553"/>
      <c r="X43" s="553"/>
      <c r="Y43" s="553"/>
      <c r="Z43" s="553"/>
      <c r="AA43" s="553"/>
      <c r="AB43" s="554"/>
      <c r="AC43" s="555"/>
      <c r="AD43" s="556"/>
      <c r="AE43" s="556"/>
      <c r="AF43" s="556"/>
      <c r="AG43" s="556"/>
    </row>
    <row r="44" spans="1:33">
      <c r="A44" s="585">
        <v>30</v>
      </c>
      <c r="B44" s="587" t="s">
        <v>2562</v>
      </c>
      <c r="C44" s="585">
        <v>30</v>
      </c>
      <c r="D44" s="629" t="s">
        <v>2286</v>
      </c>
      <c r="E44" s="586" t="s">
        <v>2367</v>
      </c>
      <c r="F44" s="675">
        <v>4.9219099999999995E-2</v>
      </c>
      <c r="G44" s="676">
        <v>2538.48</v>
      </c>
      <c r="H44" s="588">
        <v>487.2</v>
      </c>
      <c r="I44" s="587" t="s">
        <v>549</v>
      </c>
      <c r="J44" s="585">
        <v>1</v>
      </c>
      <c r="K44" s="585" t="s">
        <v>586</v>
      </c>
      <c r="L44" s="678">
        <v>348</v>
      </c>
      <c r="M44" s="649" t="s">
        <v>2533</v>
      </c>
      <c r="N44" s="679">
        <v>67.071199999999919</v>
      </c>
      <c r="O44" s="679">
        <v>134.15400000000011</v>
      </c>
      <c r="P44" s="589" t="s">
        <v>2534</v>
      </c>
      <c r="Q44" s="680">
        <v>336.67839999999967</v>
      </c>
      <c r="R44" s="696"/>
      <c r="S44" s="553"/>
      <c r="T44" s="553"/>
      <c r="U44" s="553"/>
      <c r="V44" s="553"/>
      <c r="W44" s="553"/>
      <c r="X44" s="553"/>
      <c r="Y44" s="553"/>
      <c r="Z44" s="553"/>
      <c r="AA44" s="553"/>
      <c r="AB44" s="554"/>
      <c r="AC44" s="555"/>
      <c r="AD44" s="556"/>
      <c r="AE44" s="556"/>
      <c r="AF44" s="556"/>
      <c r="AG44" s="556"/>
    </row>
    <row r="45" spans="1:33">
      <c r="A45" s="585">
        <v>31</v>
      </c>
      <c r="B45" s="587" t="s">
        <v>2563</v>
      </c>
      <c r="C45" s="585">
        <v>31</v>
      </c>
      <c r="D45" s="629" t="s">
        <v>2286</v>
      </c>
      <c r="E45" s="586" t="s">
        <v>2368</v>
      </c>
      <c r="F45" s="675">
        <v>4.9219099999999995E-2</v>
      </c>
      <c r="G45" s="676">
        <v>2538.48</v>
      </c>
      <c r="H45" s="588">
        <v>487.2</v>
      </c>
      <c r="I45" s="587" t="s">
        <v>549</v>
      </c>
      <c r="J45" s="585">
        <v>1</v>
      </c>
      <c r="K45" s="585" t="s">
        <v>587</v>
      </c>
      <c r="L45" s="678">
        <v>348</v>
      </c>
      <c r="M45" s="649" t="s">
        <v>2533</v>
      </c>
      <c r="N45" s="679">
        <v>67.071199999999919</v>
      </c>
      <c r="O45" s="679">
        <v>134.15400000000011</v>
      </c>
      <c r="P45" s="589" t="s">
        <v>2534</v>
      </c>
      <c r="Q45" s="680">
        <v>336.67839999999967</v>
      </c>
      <c r="R45" s="696"/>
      <c r="S45" s="553"/>
      <c r="T45" s="553"/>
      <c r="U45" s="553"/>
      <c r="V45" s="553"/>
      <c r="W45" s="553"/>
      <c r="X45" s="553"/>
      <c r="Y45" s="553"/>
      <c r="Z45" s="553"/>
      <c r="AA45" s="553"/>
      <c r="AB45" s="554"/>
      <c r="AC45" s="555"/>
      <c r="AD45" s="556"/>
      <c r="AE45" s="556"/>
      <c r="AF45" s="556"/>
      <c r="AG45" s="556"/>
    </row>
    <row r="46" spans="1:33">
      <c r="A46" s="585">
        <v>32</v>
      </c>
      <c r="B46" s="587" t="s">
        <v>2564</v>
      </c>
      <c r="C46" s="585">
        <v>32</v>
      </c>
      <c r="D46" s="629" t="s">
        <v>2286</v>
      </c>
      <c r="E46" s="586" t="s">
        <v>2369</v>
      </c>
      <c r="F46" s="675">
        <v>5.1809500000000001E-2</v>
      </c>
      <c r="G46" s="676">
        <v>2538.48</v>
      </c>
      <c r="H46" s="588">
        <v>487.2</v>
      </c>
      <c r="I46" s="587" t="s">
        <v>549</v>
      </c>
      <c r="J46" s="585">
        <v>1</v>
      </c>
      <c r="K46" s="585" t="s">
        <v>588</v>
      </c>
      <c r="L46" s="678">
        <v>348</v>
      </c>
      <c r="M46" s="649" t="s">
        <v>2533</v>
      </c>
      <c r="N46" s="679">
        <v>67.071199999999919</v>
      </c>
      <c r="O46" s="679">
        <v>134.15400000000011</v>
      </c>
      <c r="P46" s="589" t="s">
        <v>2534</v>
      </c>
      <c r="Q46" s="680">
        <v>336.67839999999967</v>
      </c>
      <c r="R46" s="696"/>
      <c r="S46" s="553"/>
      <c r="T46" s="553"/>
      <c r="U46" s="553"/>
      <c r="V46" s="553"/>
      <c r="W46" s="553"/>
      <c r="X46" s="553"/>
      <c r="Y46" s="553"/>
      <c r="Z46" s="553"/>
      <c r="AA46" s="553"/>
      <c r="AB46" s="554"/>
      <c r="AC46" s="555"/>
      <c r="AD46" s="556"/>
      <c r="AE46" s="556"/>
      <c r="AF46" s="556"/>
      <c r="AG46" s="556"/>
    </row>
    <row r="47" spans="1:33">
      <c r="A47" s="585">
        <v>33</v>
      </c>
      <c r="B47" s="587" t="s">
        <v>3347</v>
      </c>
      <c r="C47" s="585">
        <v>33</v>
      </c>
      <c r="D47" s="629" t="s">
        <v>2286</v>
      </c>
      <c r="E47" s="586" t="s">
        <v>3358</v>
      </c>
      <c r="F47" s="675">
        <v>3.7251199999999998E-2</v>
      </c>
      <c r="G47" s="676">
        <v>2538.48</v>
      </c>
      <c r="H47" s="588">
        <v>487.2</v>
      </c>
      <c r="I47" s="587" t="s">
        <v>549</v>
      </c>
      <c r="J47" s="585">
        <v>1</v>
      </c>
      <c r="K47" s="585" t="s">
        <v>3369</v>
      </c>
      <c r="L47" s="678">
        <v>348</v>
      </c>
      <c r="M47" s="649" t="s">
        <v>2533</v>
      </c>
      <c r="N47" s="679">
        <v>67.071199999999919</v>
      </c>
      <c r="O47" s="679">
        <v>134.15400000000011</v>
      </c>
      <c r="P47" s="589" t="s">
        <v>2534</v>
      </c>
      <c r="Q47" s="680">
        <v>336.67839999999967</v>
      </c>
      <c r="R47" s="696"/>
      <c r="S47" s="553"/>
      <c r="T47" s="553"/>
      <c r="U47" s="553"/>
      <c r="V47" s="553"/>
      <c r="W47" s="553"/>
      <c r="X47" s="553"/>
      <c r="Y47" s="553"/>
      <c r="Z47" s="553"/>
      <c r="AA47" s="553"/>
      <c r="AB47" s="554"/>
      <c r="AC47" s="555"/>
      <c r="AD47" s="556"/>
      <c r="AE47" s="556"/>
      <c r="AF47" s="556"/>
      <c r="AG47" s="556"/>
    </row>
    <row r="48" spans="1:33">
      <c r="A48" s="585">
        <v>34</v>
      </c>
      <c r="B48" s="587" t="s">
        <v>5129</v>
      </c>
      <c r="C48" s="585">
        <v>34</v>
      </c>
      <c r="D48" s="629" t="s">
        <v>2286</v>
      </c>
      <c r="E48" s="586" t="s">
        <v>5141</v>
      </c>
      <c r="F48" s="675">
        <v>5.1809500000000001E-2</v>
      </c>
      <c r="G48" s="676">
        <v>2538.48</v>
      </c>
      <c r="H48" s="588">
        <v>487.2</v>
      </c>
      <c r="I48" s="587" t="s">
        <v>549</v>
      </c>
      <c r="J48" s="585">
        <v>1</v>
      </c>
      <c r="K48" s="585" t="s">
        <v>5153</v>
      </c>
      <c r="L48" s="678">
        <v>348</v>
      </c>
      <c r="M48" s="649" t="s">
        <v>2533</v>
      </c>
      <c r="N48" s="679">
        <v>67.071199999999919</v>
      </c>
      <c r="O48" s="679">
        <v>134.15399999999983</v>
      </c>
      <c r="P48" s="589" t="s">
        <v>2534</v>
      </c>
      <c r="Q48" s="680">
        <v>336.67839999999967</v>
      </c>
      <c r="R48" s="696"/>
      <c r="S48" s="553"/>
      <c r="T48" s="553"/>
      <c r="U48" s="553"/>
      <c r="V48" s="553"/>
      <c r="W48" s="553"/>
      <c r="X48" s="553"/>
      <c r="Y48" s="553"/>
      <c r="Z48" s="553"/>
      <c r="AA48" s="553"/>
      <c r="AB48" s="554"/>
      <c r="AC48" s="555"/>
      <c r="AD48" s="556"/>
      <c r="AE48" s="556"/>
      <c r="AF48" s="556"/>
      <c r="AG48" s="556"/>
    </row>
    <row r="49" spans="1:33">
      <c r="A49" s="585">
        <v>35</v>
      </c>
      <c r="B49" s="587" t="s">
        <v>2565</v>
      </c>
      <c r="C49" s="585">
        <v>35</v>
      </c>
      <c r="D49" s="629" t="s">
        <v>2286</v>
      </c>
      <c r="E49" s="586" t="s">
        <v>2370</v>
      </c>
      <c r="F49" s="675">
        <v>5.2990500000000003E-2</v>
      </c>
      <c r="G49" s="676">
        <v>2538.48</v>
      </c>
      <c r="H49" s="588">
        <v>487.2</v>
      </c>
      <c r="I49" s="587" t="s">
        <v>549</v>
      </c>
      <c r="J49" s="585">
        <v>1</v>
      </c>
      <c r="K49" s="585" t="s">
        <v>589</v>
      </c>
      <c r="L49" s="678">
        <v>348</v>
      </c>
      <c r="M49" s="649" t="s">
        <v>2533</v>
      </c>
      <c r="N49" s="679">
        <v>67.071199999999919</v>
      </c>
      <c r="O49" s="679">
        <v>134.15400000000011</v>
      </c>
      <c r="P49" s="589" t="s">
        <v>2534</v>
      </c>
      <c r="Q49" s="680">
        <v>336.67839999999967</v>
      </c>
      <c r="R49" s="696"/>
      <c r="S49" s="553"/>
      <c r="T49" s="553"/>
      <c r="U49" s="553"/>
      <c r="V49" s="553"/>
      <c r="W49" s="553"/>
      <c r="X49" s="553"/>
      <c r="Y49" s="553"/>
      <c r="Z49" s="553"/>
      <c r="AA49" s="553"/>
      <c r="AB49" s="554"/>
      <c r="AC49" s="555"/>
      <c r="AD49" s="556"/>
      <c r="AE49" s="556"/>
      <c r="AF49" s="556"/>
      <c r="AG49" s="556"/>
    </row>
    <row r="50" spans="1:33">
      <c r="A50" s="585">
        <v>36</v>
      </c>
      <c r="B50" s="587" t="s">
        <v>2566</v>
      </c>
      <c r="C50" s="585">
        <v>36</v>
      </c>
      <c r="D50" s="629" t="s">
        <v>2286</v>
      </c>
      <c r="E50" s="586" t="s">
        <v>2371</v>
      </c>
      <c r="F50" s="675">
        <v>5.1809500000000001E-2</v>
      </c>
      <c r="G50" s="676">
        <v>2538.48</v>
      </c>
      <c r="H50" s="588">
        <v>487.2</v>
      </c>
      <c r="I50" s="587" t="s">
        <v>549</v>
      </c>
      <c r="J50" s="585">
        <v>1</v>
      </c>
      <c r="K50" s="585" t="s">
        <v>590</v>
      </c>
      <c r="L50" s="678">
        <v>348</v>
      </c>
      <c r="M50" s="649" t="s">
        <v>2533</v>
      </c>
      <c r="N50" s="679">
        <v>67.071199999999919</v>
      </c>
      <c r="O50" s="679">
        <v>134.15400000000011</v>
      </c>
      <c r="P50" s="589" t="s">
        <v>2534</v>
      </c>
      <c r="Q50" s="680">
        <v>336.67839999999967</v>
      </c>
      <c r="R50" s="696"/>
      <c r="S50" s="553"/>
      <c r="T50" s="553"/>
      <c r="U50" s="553"/>
      <c r="V50" s="553"/>
      <c r="W50" s="553"/>
      <c r="X50" s="553"/>
      <c r="Y50" s="553"/>
      <c r="Z50" s="553"/>
      <c r="AA50" s="553"/>
      <c r="AB50" s="554"/>
      <c r="AC50" s="555"/>
      <c r="AD50" s="556"/>
      <c r="AE50" s="556"/>
      <c r="AF50" s="556"/>
      <c r="AG50" s="556"/>
    </row>
    <row r="51" spans="1:33">
      <c r="A51" s="585">
        <v>37</v>
      </c>
      <c r="B51" s="587" t="s">
        <v>2567</v>
      </c>
      <c r="C51" s="585">
        <v>37</v>
      </c>
      <c r="D51" s="629" t="s">
        <v>2286</v>
      </c>
      <c r="E51" s="586" t="s">
        <v>2372</v>
      </c>
      <c r="F51" s="675">
        <v>3.7251199999999998E-2</v>
      </c>
      <c r="G51" s="676">
        <v>2538.48</v>
      </c>
      <c r="H51" s="588">
        <v>487.2</v>
      </c>
      <c r="I51" s="587" t="s">
        <v>549</v>
      </c>
      <c r="J51" s="585">
        <v>1</v>
      </c>
      <c r="K51" s="585" t="s">
        <v>591</v>
      </c>
      <c r="L51" s="678">
        <v>348</v>
      </c>
      <c r="M51" s="649" t="s">
        <v>2533</v>
      </c>
      <c r="N51" s="679">
        <v>67.071199999999919</v>
      </c>
      <c r="O51" s="679">
        <v>134.15400000000011</v>
      </c>
      <c r="P51" s="589" t="s">
        <v>2534</v>
      </c>
      <c r="Q51" s="680">
        <v>336.67839999999967</v>
      </c>
      <c r="R51" s="696"/>
      <c r="S51" s="553"/>
      <c r="T51" s="553"/>
      <c r="U51" s="553"/>
      <c r="V51" s="553"/>
      <c r="W51" s="553"/>
      <c r="X51" s="553"/>
      <c r="Y51" s="553"/>
      <c r="Z51" s="553"/>
      <c r="AA51" s="553"/>
      <c r="AB51" s="554"/>
      <c r="AC51" s="555"/>
      <c r="AD51" s="556"/>
      <c r="AE51" s="556"/>
      <c r="AF51" s="556"/>
      <c r="AG51" s="556"/>
    </row>
    <row r="52" spans="1:33">
      <c r="A52" s="585">
        <v>38</v>
      </c>
      <c r="B52" s="587" t="s">
        <v>2568</v>
      </c>
      <c r="C52" s="585">
        <v>38</v>
      </c>
      <c r="D52" s="629" t="s">
        <v>2286</v>
      </c>
      <c r="E52" s="586" t="s">
        <v>2373</v>
      </c>
      <c r="F52" s="675">
        <v>5.36528E-2</v>
      </c>
      <c r="G52" s="676">
        <v>2538.48</v>
      </c>
      <c r="H52" s="588">
        <v>487.2</v>
      </c>
      <c r="I52" s="587" t="s">
        <v>549</v>
      </c>
      <c r="J52" s="585">
        <v>1</v>
      </c>
      <c r="K52" s="585" t="s">
        <v>592</v>
      </c>
      <c r="L52" s="678">
        <v>348</v>
      </c>
      <c r="M52" s="649" t="s">
        <v>2533</v>
      </c>
      <c r="N52" s="679">
        <v>67.071199999999919</v>
      </c>
      <c r="O52" s="679">
        <v>134.15400000000011</v>
      </c>
      <c r="P52" s="589" t="s">
        <v>2534</v>
      </c>
      <c r="Q52" s="680">
        <v>336.67839999999967</v>
      </c>
      <c r="R52" s="696"/>
      <c r="S52" s="553"/>
      <c r="T52" s="553"/>
      <c r="U52" s="553"/>
      <c r="V52" s="553"/>
      <c r="W52" s="553"/>
      <c r="X52" s="553"/>
      <c r="Y52" s="553"/>
      <c r="Z52" s="553"/>
      <c r="AA52" s="553"/>
      <c r="AB52" s="554"/>
      <c r="AC52" s="555"/>
      <c r="AD52" s="556"/>
      <c r="AE52" s="556"/>
      <c r="AF52" s="556"/>
      <c r="AG52" s="556"/>
    </row>
    <row r="53" spans="1:33">
      <c r="A53" s="585">
        <v>39</v>
      </c>
      <c r="B53" s="587" t="s">
        <v>5130</v>
      </c>
      <c r="C53" s="585">
        <v>39</v>
      </c>
      <c r="D53" s="629" t="s">
        <v>2286</v>
      </c>
      <c r="E53" s="586" t="s">
        <v>5142</v>
      </c>
      <c r="F53" s="675">
        <v>5.1809500000000001E-2</v>
      </c>
      <c r="G53" s="676">
        <v>2538.48</v>
      </c>
      <c r="H53" s="588">
        <v>487.2</v>
      </c>
      <c r="I53" s="587" t="s">
        <v>549</v>
      </c>
      <c r="J53" s="585">
        <v>1</v>
      </c>
      <c r="K53" s="585" t="s">
        <v>5154</v>
      </c>
      <c r="L53" s="678">
        <v>348</v>
      </c>
      <c r="M53" s="649" t="s">
        <v>2533</v>
      </c>
      <c r="N53" s="679">
        <v>67.071199999999919</v>
      </c>
      <c r="O53" s="679">
        <v>134.15399999999983</v>
      </c>
      <c r="P53" s="589" t="s">
        <v>2534</v>
      </c>
      <c r="Q53" s="680">
        <v>336.67839999999967</v>
      </c>
      <c r="R53" s="696"/>
      <c r="S53" s="553"/>
      <c r="T53" s="553"/>
      <c r="U53" s="553"/>
      <c r="V53" s="553"/>
      <c r="W53" s="553"/>
      <c r="X53" s="553"/>
      <c r="Y53" s="553"/>
      <c r="Z53" s="553"/>
      <c r="AA53" s="553"/>
      <c r="AB53" s="554"/>
      <c r="AC53" s="555"/>
      <c r="AD53" s="556"/>
      <c r="AE53" s="556"/>
      <c r="AF53" s="556"/>
      <c r="AG53" s="556"/>
    </row>
    <row r="54" spans="1:33">
      <c r="A54" s="585">
        <v>40</v>
      </c>
      <c r="B54" s="587" t="s">
        <v>2569</v>
      </c>
      <c r="C54" s="585">
        <v>40</v>
      </c>
      <c r="D54" s="629" t="s">
        <v>2286</v>
      </c>
      <c r="E54" s="586" t="s">
        <v>2374</v>
      </c>
      <c r="F54" s="675">
        <v>5.1809500000000001E-2</v>
      </c>
      <c r="G54" s="676">
        <v>2538.48</v>
      </c>
      <c r="H54" s="588">
        <v>487.2</v>
      </c>
      <c r="I54" s="587" t="s">
        <v>549</v>
      </c>
      <c r="J54" s="585">
        <v>1</v>
      </c>
      <c r="K54" s="585" t="s">
        <v>593</v>
      </c>
      <c r="L54" s="678">
        <v>348</v>
      </c>
      <c r="M54" s="649" t="s">
        <v>2533</v>
      </c>
      <c r="N54" s="679">
        <v>67.071199999999919</v>
      </c>
      <c r="O54" s="679">
        <v>134.15400000000011</v>
      </c>
      <c r="P54" s="589" t="s">
        <v>2534</v>
      </c>
      <c r="Q54" s="680">
        <v>336.67839999999967</v>
      </c>
      <c r="R54" s="696"/>
      <c r="S54" s="553"/>
      <c r="T54" s="553"/>
      <c r="U54" s="553"/>
      <c r="V54" s="553"/>
      <c r="W54" s="553"/>
      <c r="X54" s="553"/>
      <c r="Y54" s="553"/>
      <c r="Z54" s="553"/>
      <c r="AA54" s="553"/>
      <c r="AB54" s="554"/>
      <c r="AC54" s="555"/>
      <c r="AD54" s="556"/>
      <c r="AE54" s="556"/>
      <c r="AF54" s="556"/>
      <c r="AG54" s="556"/>
    </row>
    <row r="55" spans="1:33">
      <c r="A55" s="585">
        <v>41</v>
      </c>
      <c r="B55" s="587" t="s">
        <v>4464</v>
      </c>
      <c r="C55" s="585">
        <v>41</v>
      </c>
      <c r="D55" s="629" t="s">
        <v>2286</v>
      </c>
      <c r="E55" s="586" t="s">
        <v>4468</v>
      </c>
      <c r="F55" s="675">
        <v>4.7502099999999998E-2</v>
      </c>
      <c r="G55" s="676">
        <v>2538.48</v>
      </c>
      <c r="H55" s="588">
        <v>487.2</v>
      </c>
      <c r="I55" s="587" t="s">
        <v>549</v>
      </c>
      <c r="J55" s="585">
        <v>1</v>
      </c>
      <c r="K55" s="585" t="s">
        <v>4472</v>
      </c>
      <c r="L55" s="678">
        <v>348</v>
      </c>
      <c r="M55" s="649" t="s">
        <v>2533</v>
      </c>
      <c r="N55" s="679">
        <v>67.071199999999919</v>
      </c>
      <c r="O55" s="679">
        <v>134.15400000000011</v>
      </c>
      <c r="P55" s="589" t="s">
        <v>2534</v>
      </c>
      <c r="Q55" s="680">
        <v>336.67839999999967</v>
      </c>
      <c r="R55" s="696"/>
      <c r="S55" s="553"/>
      <c r="T55" s="553"/>
      <c r="U55" s="553"/>
      <c r="V55" s="553"/>
      <c r="W55" s="553"/>
      <c r="X55" s="553"/>
      <c r="Y55" s="553"/>
      <c r="Z55" s="553"/>
      <c r="AA55" s="553"/>
      <c r="AB55" s="554"/>
      <c r="AC55" s="555"/>
      <c r="AD55" s="556"/>
      <c r="AE55" s="556"/>
      <c r="AF55" s="556"/>
      <c r="AG55" s="556"/>
    </row>
    <row r="56" spans="1:33">
      <c r="A56" s="585">
        <v>42</v>
      </c>
      <c r="B56" s="587" t="s">
        <v>2570</v>
      </c>
      <c r="C56" s="585">
        <v>42</v>
      </c>
      <c r="D56" s="629" t="s">
        <v>2286</v>
      </c>
      <c r="E56" s="586" t="s">
        <v>2375</v>
      </c>
      <c r="F56" s="675">
        <v>4.9219099999999995E-2</v>
      </c>
      <c r="G56" s="676">
        <v>2538.48</v>
      </c>
      <c r="H56" s="588">
        <v>487.2</v>
      </c>
      <c r="I56" s="587" t="s">
        <v>549</v>
      </c>
      <c r="J56" s="585">
        <v>1</v>
      </c>
      <c r="K56" s="585" t="s">
        <v>594</v>
      </c>
      <c r="L56" s="678">
        <v>348</v>
      </c>
      <c r="M56" s="649" t="s">
        <v>2533</v>
      </c>
      <c r="N56" s="679">
        <v>67.071199999999919</v>
      </c>
      <c r="O56" s="679">
        <v>134.15400000000011</v>
      </c>
      <c r="P56" s="589" t="s">
        <v>2534</v>
      </c>
      <c r="Q56" s="680">
        <v>336.67839999999967</v>
      </c>
      <c r="R56" s="696"/>
      <c r="S56" s="553"/>
      <c r="T56" s="553"/>
      <c r="U56" s="553"/>
      <c r="V56" s="553"/>
      <c r="W56" s="553"/>
      <c r="X56" s="553"/>
      <c r="Y56" s="553"/>
      <c r="Z56" s="553"/>
      <c r="AA56" s="553"/>
      <c r="AB56" s="554"/>
      <c r="AC56" s="555"/>
      <c r="AD56" s="556"/>
      <c r="AE56" s="556"/>
      <c r="AF56" s="556"/>
      <c r="AG56" s="556"/>
    </row>
    <row r="57" spans="1:33">
      <c r="A57" s="585">
        <v>43</v>
      </c>
      <c r="B57" s="587" t="s">
        <v>3472</v>
      </c>
      <c r="C57" s="585">
        <v>43</v>
      </c>
      <c r="D57" s="629" t="s">
        <v>2219</v>
      </c>
      <c r="E57" s="586" t="s">
        <v>4426</v>
      </c>
      <c r="F57" s="675">
        <v>4.2571999999999999E-2</v>
      </c>
      <c r="G57" s="676">
        <v>2538.48</v>
      </c>
      <c r="H57" s="588">
        <v>487.2</v>
      </c>
      <c r="I57" s="587" t="s">
        <v>549</v>
      </c>
      <c r="J57" s="585">
        <v>1</v>
      </c>
      <c r="K57" s="585" t="s">
        <v>3475</v>
      </c>
      <c r="L57" s="678">
        <v>348</v>
      </c>
      <c r="M57" s="649" t="s">
        <v>2533</v>
      </c>
      <c r="N57" s="679">
        <v>67.071199999999919</v>
      </c>
      <c r="O57" s="679">
        <v>134.15400000000011</v>
      </c>
      <c r="P57" s="589" t="s">
        <v>2534</v>
      </c>
      <c r="Q57" s="680">
        <v>336.67839999999967</v>
      </c>
      <c r="R57" s="696"/>
      <c r="S57" s="553"/>
      <c r="T57" s="553"/>
      <c r="U57" s="553"/>
      <c r="V57" s="553"/>
      <c r="W57" s="553"/>
      <c r="X57" s="553"/>
      <c r="Y57" s="553"/>
      <c r="Z57" s="553"/>
      <c r="AA57" s="553"/>
      <c r="AB57" s="554"/>
      <c r="AC57" s="555"/>
      <c r="AD57" s="556"/>
      <c r="AE57" s="556"/>
      <c r="AF57" s="556"/>
      <c r="AG57" s="556"/>
    </row>
    <row r="58" spans="1:33">
      <c r="A58" s="585">
        <v>44</v>
      </c>
      <c r="B58" s="587" t="s">
        <v>3496</v>
      </c>
      <c r="C58" s="585">
        <v>44</v>
      </c>
      <c r="D58" s="629" t="s">
        <v>2219</v>
      </c>
      <c r="E58" s="586" t="s">
        <v>4427</v>
      </c>
      <c r="F58" s="675">
        <v>4.2571999999999999E-2</v>
      </c>
      <c r="G58" s="676">
        <v>2538.48</v>
      </c>
      <c r="H58" s="588">
        <v>487.2</v>
      </c>
      <c r="I58" s="587" t="s">
        <v>549</v>
      </c>
      <c r="J58" s="585">
        <v>1</v>
      </c>
      <c r="K58" s="585" t="s">
        <v>3497</v>
      </c>
      <c r="L58" s="678">
        <v>348</v>
      </c>
      <c r="M58" s="649" t="s">
        <v>2533</v>
      </c>
      <c r="N58" s="679">
        <v>67.071199999999919</v>
      </c>
      <c r="O58" s="679">
        <v>134.15400000000011</v>
      </c>
      <c r="P58" s="589" t="s">
        <v>2534</v>
      </c>
      <c r="Q58" s="680">
        <v>336.67839999999967</v>
      </c>
      <c r="R58" s="696"/>
      <c r="S58" s="553"/>
      <c r="T58" s="553"/>
      <c r="U58" s="553"/>
      <c r="V58" s="553"/>
      <c r="W58" s="553"/>
      <c r="X58" s="553"/>
      <c r="Y58" s="553"/>
      <c r="Z58" s="553"/>
      <c r="AA58" s="553"/>
      <c r="AB58" s="554"/>
      <c r="AC58" s="555"/>
      <c r="AD58" s="556"/>
      <c r="AE58" s="556"/>
      <c r="AF58" s="556"/>
      <c r="AG58" s="556"/>
    </row>
    <row r="59" spans="1:33">
      <c r="A59" s="585">
        <v>45</v>
      </c>
      <c r="B59" s="587" t="s">
        <v>3380</v>
      </c>
      <c r="C59" s="585">
        <v>45</v>
      </c>
      <c r="D59" s="629" t="s">
        <v>2219</v>
      </c>
      <c r="E59" s="586" t="s">
        <v>4428</v>
      </c>
      <c r="F59" s="675">
        <v>4.2571999999999999E-2</v>
      </c>
      <c r="G59" s="676">
        <v>2538.48</v>
      </c>
      <c r="H59" s="588">
        <v>487.2</v>
      </c>
      <c r="I59" s="587" t="s">
        <v>549</v>
      </c>
      <c r="J59" s="585">
        <v>1</v>
      </c>
      <c r="K59" s="585" t="s">
        <v>3434</v>
      </c>
      <c r="L59" s="678">
        <v>348</v>
      </c>
      <c r="M59" s="649" t="s">
        <v>2533</v>
      </c>
      <c r="N59" s="679">
        <v>67.071199999999919</v>
      </c>
      <c r="O59" s="679">
        <v>134.15400000000011</v>
      </c>
      <c r="P59" s="589" t="s">
        <v>2534</v>
      </c>
      <c r="Q59" s="680">
        <v>336.67839999999967</v>
      </c>
      <c r="R59" s="696"/>
      <c r="S59" s="553"/>
      <c r="T59" s="553"/>
      <c r="U59" s="553"/>
      <c r="V59" s="553"/>
      <c r="W59" s="553"/>
      <c r="X59" s="553"/>
      <c r="Y59" s="553"/>
      <c r="Z59" s="553"/>
      <c r="AA59" s="553"/>
      <c r="AB59" s="554"/>
      <c r="AC59" s="555"/>
      <c r="AD59" s="556"/>
      <c r="AE59" s="556"/>
      <c r="AF59" s="556"/>
      <c r="AG59" s="556"/>
    </row>
    <row r="60" spans="1:33">
      <c r="A60" s="585">
        <v>46</v>
      </c>
      <c r="B60" s="587" t="s">
        <v>3381</v>
      </c>
      <c r="C60" s="585">
        <v>46</v>
      </c>
      <c r="D60" s="629" t="s">
        <v>2219</v>
      </c>
      <c r="E60" s="586" t="s">
        <v>4429</v>
      </c>
      <c r="F60" s="675">
        <v>4.2571999999999999E-2</v>
      </c>
      <c r="G60" s="676">
        <v>2538.48</v>
      </c>
      <c r="H60" s="588">
        <v>487.2</v>
      </c>
      <c r="I60" s="587" t="s">
        <v>549</v>
      </c>
      <c r="J60" s="585">
        <v>1</v>
      </c>
      <c r="K60" s="585" t="s">
        <v>3435</v>
      </c>
      <c r="L60" s="678">
        <v>348</v>
      </c>
      <c r="M60" s="649" t="s">
        <v>2533</v>
      </c>
      <c r="N60" s="679">
        <v>67.071199999999919</v>
      </c>
      <c r="O60" s="679">
        <v>134.15400000000011</v>
      </c>
      <c r="P60" s="589" t="s">
        <v>2534</v>
      </c>
      <c r="Q60" s="680">
        <v>336.67839999999967</v>
      </c>
      <c r="R60" s="696"/>
      <c r="S60" s="553"/>
      <c r="T60" s="553"/>
      <c r="U60" s="553"/>
      <c r="V60" s="553"/>
      <c r="W60" s="553"/>
      <c r="X60" s="553"/>
      <c r="Y60" s="553"/>
      <c r="Z60" s="553"/>
      <c r="AA60" s="553"/>
      <c r="AB60" s="554"/>
      <c r="AC60" s="555"/>
      <c r="AD60" s="556"/>
      <c r="AE60" s="556"/>
      <c r="AF60" s="556"/>
      <c r="AG60" s="556"/>
    </row>
    <row r="61" spans="1:33">
      <c r="A61" s="585">
        <v>47</v>
      </c>
      <c r="B61" s="587" t="s">
        <v>10399</v>
      </c>
      <c r="C61" s="585">
        <v>47</v>
      </c>
      <c r="D61" s="629" t="s">
        <v>2219</v>
      </c>
      <c r="E61" s="586" t="s">
        <v>10433</v>
      </c>
      <c r="F61" s="675">
        <v>4.1958000000000002E-2</v>
      </c>
      <c r="G61" s="676">
        <v>2538.48</v>
      </c>
      <c r="H61" s="588">
        <v>487.2</v>
      </c>
      <c r="I61" s="587" t="s">
        <v>549</v>
      </c>
      <c r="J61" s="585">
        <v>1</v>
      </c>
      <c r="K61" s="585" t="s">
        <v>10466</v>
      </c>
      <c r="L61" s="678">
        <v>348</v>
      </c>
      <c r="M61" s="649" t="s">
        <v>2533</v>
      </c>
      <c r="N61" s="679">
        <v>67.071199999999919</v>
      </c>
      <c r="O61" s="679">
        <v>134.15399999999985</v>
      </c>
      <c r="P61" s="589" t="s">
        <v>2534</v>
      </c>
      <c r="Q61" s="680">
        <v>336.67840000000001</v>
      </c>
      <c r="R61" s="696"/>
      <c r="S61" s="553"/>
      <c r="T61" s="553"/>
      <c r="U61" s="553"/>
      <c r="V61" s="553"/>
      <c r="W61" s="553"/>
      <c r="X61" s="553"/>
      <c r="Y61" s="553"/>
      <c r="Z61" s="553"/>
      <c r="AA61" s="553"/>
      <c r="AB61" s="554"/>
      <c r="AC61" s="555"/>
      <c r="AD61" s="556"/>
      <c r="AE61" s="556"/>
      <c r="AF61" s="556"/>
      <c r="AG61" s="556"/>
    </row>
    <row r="62" spans="1:33">
      <c r="A62" s="585">
        <v>48</v>
      </c>
      <c r="B62" s="587" t="s">
        <v>3455</v>
      </c>
      <c r="C62" s="585">
        <v>48</v>
      </c>
      <c r="D62" s="629" t="s">
        <v>2219</v>
      </c>
      <c r="E62" s="586" t="s">
        <v>4430</v>
      </c>
      <c r="F62" s="675">
        <v>4.2571999999999999E-2</v>
      </c>
      <c r="G62" s="676">
        <v>2538.48</v>
      </c>
      <c r="H62" s="588">
        <v>487.2</v>
      </c>
      <c r="I62" s="587" t="s">
        <v>549</v>
      </c>
      <c r="J62" s="585">
        <v>1</v>
      </c>
      <c r="K62" s="585" t="s">
        <v>3456</v>
      </c>
      <c r="L62" s="678">
        <v>348</v>
      </c>
      <c r="M62" s="649" t="s">
        <v>2533</v>
      </c>
      <c r="N62" s="679">
        <v>67.071199999999919</v>
      </c>
      <c r="O62" s="679">
        <v>134.15400000000011</v>
      </c>
      <c r="P62" s="589" t="s">
        <v>2534</v>
      </c>
      <c r="Q62" s="680">
        <v>336.67839999999967</v>
      </c>
      <c r="R62" s="696"/>
      <c r="S62" s="553"/>
      <c r="T62" s="553"/>
      <c r="U62" s="553"/>
      <c r="V62" s="553"/>
      <c r="W62" s="553"/>
      <c r="X62" s="553"/>
      <c r="Y62" s="553"/>
      <c r="Z62" s="553"/>
      <c r="AA62" s="553"/>
      <c r="AB62" s="554"/>
      <c r="AC62" s="555"/>
      <c r="AD62" s="556"/>
      <c r="AE62" s="556"/>
      <c r="AF62" s="556"/>
      <c r="AG62" s="556"/>
    </row>
    <row r="63" spans="1:33">
      <c r="A63" s="585">
        <v>49</v>
      </c>
      <c r="B63" s="587" t="s">
        <v>4454</v>
      </c>
      <c r="C63" s="585">
        <v>49</v>
      </c>
      <c r="D63" s="629" t="s">
        <v>2219</v>
      </c>
      <c r="E63" s="586" t="s">
        <v>4458</v>
      </c>
      <c r="F63" s="675">
        <v>4.2571999999999999E-2</v>
      </c>
      <c r="G63" s="676">
        <v>2538.48</v>
      </c>
      <c r="H63" s="588">
        <v>487.2</v>
      </c>
      <c r="I63" s="587" t="s">
        <v>549</v>
      </c>
      <c r="J63" s="585">
        <v>1</v>
      </c>
      <c r="K63" s="585" t="s">
        <v>4460</v>
      </c>
      <c r="L63" s="678">
        <v>348</v>
      </c>
      <c r="M63" s="649" t="s">
        <v>2533</v>
      </c>
      <c r="N63" s="679">
        <v>67.071199999999919</v>
      </c>
      <c r="O63" s="679">
        <v>134.15400000000011</v>
      </c>
      <c r="P63" s="589" t="s">
        <v>2534</v>
      </c>
      <c r="Q63" s="680">
        <v>336.67839999999967</v>
      </c>
      <c r="R63" s="696"/>
      <c r="S63" s="553"/>
      <c r="T63" s="553"/>
      <c r="U63" s="553"/>
      <c r="V63" s="553"/>
      <c r="W63" s="553"/>
      <c r="X63" s="553"/>
      <c r="Y63" s="553"/>
      <c r="Z63" s="553"/>
      <c r="AA63" s="553"/>
      <c r="AB63" s="554"/>
      <c r="AC63" s="555"/>
      <c r="AD63" s="556"/>
      <c r="AE63" s="556"/>
      <c r="AF63" s="556"/>
      <c r="AG63" s="556"/>
    </row>
    <row r="64" spans="1:33">
      <c r="A64" s="585">
        <v>50</v>
      </c>
      <c r="B64" s="587" t="s">
        <v>4288</v>
      </c>
      <c r="C64" s="585">
        <v>50</v>
      </c>
      <c r="D64" s="629" t="s">
        <v>2219</v>
      </c>
      <c r="E64" s="586" t="s">
        <v>4431</v>
      </c>
      <c r="F64" s="675">
        <v>4.2571999999999999E-2</v>
      </c>
      <c r="G64" s="676">
        <v>2538.48</v>
      </c>
      <c r="H64" s="588">
        <v>487.2</v>
      </c>
      <c r="I64" s="587" t="s">
        <v>549</v>
      </c>
      <c r="J64" s="585">
        <v>1</v>
      </c>
      <c r="K64" s="585" t="s">
        <v>4289</v>
      </c>
      <c r="L64" s="678">
        <v>348</v>
      </c>
      <c r="M64" s="649" t="s">
        <v>2533</v>
      </c>
      <c r="N64" s="679">
        <v>67.071199999999919</v>
      </c>
      <c r="O64" s="679">
        <v>134.15400000000011</v>
      </c>
      <c r="P64" s="589" t="s">
        <v>2534</v>
      </c>
      <c r="Q64" s="680">
        <v>336.67839999999967</v>
      </c>
      <c r="R64" s="696"/>
      <c r="S64" s="553"/>
      <c r="T64" s="553"/>
      <c r="U64" s="553"/>
      <c r="V64" s="553"/>
      <c r="W64" s="553"/>
      <c r="X64" s="553"/>
      <c r="Y64" s="553"/>
      <c r="Z64" s="553"/>
      <c r="AA64" s="553"/>
      <c r="AB64" s="554"/>
      <c r="AC64" s="555"/>
      <c r="AD64" s="556"/>
      <c r="AE64" s="556"/>
      <c r="AF64" s="556"/>
      <c r="AG64" s="556"/>
    </row>
    <row r="65" spans="1:33">
      <c r="A65" s="585">
        <v>51</v>
      </c>
      <c r="B65" s="587" t="s">
        <v>10400</v>
      </c>
      <c r="C65" s="585">
        <v>51</v>
      </c>
      <c r="D65" s="629" t="s">
        <v>2219</v>
      </c>
      <c r="E65" s="586" t="s">
        <v>10434</v>
      </c>
      <c r="F65" s="675">
        <v>4.2571999999999999E-2</v>
      </c>
      <c r="G65" s="676">
        <v>2538.48</v>
      </c>
      <c r="H65" s="588">
        <v>487.2</v>
      </c>
      <c r="I65" s="587" t="s">
        <v>549</v>
      </c>
      <c r="J65" s="585">
        <v>1</v>
      </c>
      <c r="K65" s="585" t="s">
        <v>10467</v>
      </c>
      <c r="L65" s="678">
        <v>348</v>
      </c>
      <c r="M65" s="649" t="s">
        <v>2533</v>
      </c>
      <c r="N65" s="679">
        <v>67.071199999999919</v>
      </c>
      <c r="O65" s="679">
        <v>134.15400000000011</v>
      </c>
      <c r="P65" s="589" t="s">
        <v>2534</v>
      </c>
      <c r="Q65" s="680">
        <v>336.67839999999967</v>
      </c>
      <c r="R65" s="696"/>
      <c r="S65" s="553"/>
      <c r="T65" s="553"/>
      <c r="U65" s="553"/>
      <c r="V65" s="553"/>
      <c r="W65" s="553"/>
      <c r="X65" s="553"/>
      <c r="Y65" s="553"/>
      <c r="Z65" s="553"/>
      <c r="AA65" s="553"/>
      <c r="AB65" s="554"/>
      <c r="AC65" s="555"/>
      <c r="AD65" s="556"/>
      <c r="AE65" s="556"/>
      <c r="AF65" s="556"/>
      <c r="AG65" s="556"/>
    </row>
    <row r="66" spans="1:33">
      <c r="A66" s="585">
        <v>52</v>
      </c>
      <c r="B66" s="587" t="s">
        <v>10401</v>
      </c>
      <c r="C66" s="585">
        <v>52</v>
      </c>
      <c r="D66" s="629" t="s">
        <v>2219</v>
      </c>
      <c r="E66" s="586" t="s">
        <v>10435</v>
      </c>
      <c r="F66" s="675">
        <v>3.6269999999999997E-2</v>
      </c>
      <c r="G66" s="676">
        <v>2538.48</v>
      </c>
      <c r="H66" s="588">
        <v>487.2</v>
      </c>
      <c r="I66" s="587" t="s">
        <v>549</v>
      </c>
      <c r="J66" s="585">
        <v>1</v>
      </c>
      <c r="K66" s="585" t="s">
        <v>10468</v>
      </c>
      <c r="L66" s="678">
        <v>348</v>
      </c>
      <c r="M66" s="649" t="s">
        <v>2533</v>
      </c>
      <c r="N66" s="679">
        <v>67.071199999999919</v>
      </c>
      <c r="O66" s="679">
        <v>134.15399999999985</v>
      </c>
      <c r="P66" s="589" t="s">
        <v>2534</v>
      </c>
      <c r="Q66" s="680">
        <v>336.67840000000001</v>
      </c>
      <c r="R66" s="696"/>
      <c r="S66" s="553"/>
      <c r="T66" s="553"/>
      <c r="U66" s="553"/>
      <c r="V66" s="553"/>
      <c r="W66" s="553"/>
      <c r="X66" s="553"/>
      <c r="Y66" s="553"/>
      <c r="Z66" s="553"/>
      <c r="AA66" s="553"/>
      <c r="AB66" s="554"/>
      <c r="AC66" s="555"/>
      <c r="AD66" s="556"/>
      <c r="AE66" s="556"/>
      <c r="AF66" s="556"/>
      <c r="AG66" s="556"/>
    </row>
    <row r="67" spans="1:33">
      <c r="A67" s="585">
        <v>53</v>
      </c>
      <c r="B67" s="587" t="s">
        <v>10402</v>
      </c>
      <c r="C67" s="585">
        <v>53</v>
      </c>
      <c r="D67" s="629" t="s">
        <v>2219</v>
      </c>
      <c r="E67" s="586" t="s">
        <v>10436</v>
      </c>
      <c r="F67" s="675">
        <v>4.2571999999999999E-2</v>
      </c>
      <c r="G67" s="676">
        <v>2538.48</v>
      </c>
      <c r="H67" s="588">
        <v>487.2</v>
      </c>
      <c r="I67" s="587" t="s">
        <v>549</v>
      </c>
      <c r="J67" s="585">
        <v>1</v>
      </c>
      <c r="K67" s="585" t="s">
        <v>10469</v>
      </c>
      <c r="L67" s="678">
        <v>348</v>
      </c>
      <c r="M67" s="649" t="s">
        <v>2533</v>
      </c>
      <c r="N67" s="679">
        <v>67.071199999999919</v>
      </c>
      <c r="O67" s="679">
        <v>134.15399999999985</v>
      </c>
      <c r="P67" s="589" t="s">
        <v>2534</v>
      </c>
      <c r="Q67" s="680">
        <v>336.67840000000001</v>
      </c>
      <c r="R67" s="696"/>
      <c r="S67" s="553"/>
      <c r="T67" s="553"/>
      <c r="U67" s="553"/>
      <c r="V67" s="553"/>
      <c r="W67" s="553"/>
      <c r="X67" s="553"/>
      <c r="Y67" s="553"/>
      <c r="Z67" s="553"/>
      <c r="AA67" s="553"/>
      <c r="AB67" s="554"/>
      <c r="AC67" s="555"/>
      <c r="AD67" s="556"/>
      <c r="AE67" s="556"/>
      <c r="AF67" s="556"/>
      <c r="AG67" s="556"/>
    </row>
    <row r="68" spans="1:33">
      <c r="A68" s="585">
        <v>54</v>
      </c>
      <c r="B68" s="587" t="s">
        <v>4544</v>
      </c>
      <c r="C68" s="585">
        <v>54</v>
      </c>
      <c r="D68" s="629" t="s">
        <v>2219</v>
      </c>
      <c r="E68" s="586" t="s">
        <v>4555</v>
      </c>
      <c r="F68" s="675">
        <v>4.2571999999999999E-2</v>
      </c>
      <c r="G68" s="676">
        <v>2538.48</v>
      </c>
      <c r="H68" s="588">
        <v>487.2</v>
      </c>
      <c r="I68" s="587" t="s">
        <v>549</v>
      </c>
      <c r="J68" s="585">
        <v>1</v>
      </c>
      <c r="K68" s="585" t="s">
        <v>4566</v>
      </c>
      <c r="L68" s="678">
        <v>348</v>
      </c>
      <c r="M68" s="649" t="s">
        <v>2533</v>
      </c>
      <c r="N68" s="679">
        <v>67.071199999999919</v>
      </c>
      <c r="O68" s="679">
        <v>134.15400000000011</v>
      </c>
      <c r="P68" s="589" t="s">
        <v>2534</v>
      </c>
      <c r="Q68" s="680">
        <v>336.67839999999967</v>
      </c>
      <c r="R68" s="696"/>
      <c r="S68" s="553"/>
      <c r="T68" s="553"/>
      <c r="U68" s="553"/>
      <c r="V68" s="553"/>
      <c r="W68" s="553"/>
      <c r="X68" s="553"/>
      <c r="Y68" s="553"/>
      <c r="Z68" s="553"/>
      <c r="AA68" s="553"/>
      <c r="AB68" s="554"/>
      <c r="AC68" s="555"/>
      <c r="AD68" s="556"/>
      <c r="AE68" s="556"/>
      <c r="AF68" s="556"/>
      <c r="AG68" s="556"/>
    </row>
    <row r="69" spans="1:33">
      <c r="A69" s="585">
        <v>55</v>
      </c>
      <c r="B69" s="587" t="s">
        <v>4355</v>
      </c>
      <c r="C69" s="585">
        <v>55</v>
      </c>
      <c r="D69" s="629" t="s">
        <v>2219</v>
      </c>
      <c r="E69" s="586" t="s">
        <v>4432</v>
      </c>
      <c r="F69" s="675">
        <v>4.2571999999999999E-2</v>
      </c>
      <c r="G69" s="676">
        <v>2538.48</v>
      </c>
      <c r="H69" s="588">
        <v>487.2</v>
      </c>
      <c r="I69" s="587" t="s">
        <v>549</v>
      </c>
      <c r="J69" s="585">
        <v>1</v>
      </c>
      <c r="K69" s="585" t="s">
        <v>4356</v>
      </c>
      <c r="L69" s="678">
        <v>348</v>
      </c>
      <c r="M69" s="649" t="s">
        <v>2533</v>
      </c>
      <c r="N69" s="679">
        <v>67.071199999999919</v>
      </c>
      <c r="O69" s="679">
        <v>134.15400000000011</v>
      </c>
      <c r="P69" s="589" t="s">
        <v>2534</v>
      </c>
      <c r="Q69" s="680">
        <v>336.67839999999967</v>
      </c>
      <c r="R69" s="696"/>
      <c r="S69" s="553"/>
      <c r="T69" s="553"/>
      <c r="U69" s="553"/>
      <c r="V69" s="553"/>
      <c r="W69" s="553"/>
      <c r="X69" s="553"/>
      <c r="Y69" s="553"/>
      <c r="Z69" s="553"/>
      <c r="AA69" s="553"/>
      <c r="AB69" s="554"/>
      <c r="AC69" s="555"/>
      <c r="AD69" s="556"/>
      <c r="AE69" s="556"/>
      <c r="AF69" s="556"/>
      <c r="AG69" s="556"/>
    </row>
    <row r="70" spans="1:33">
      <c r="A70" s="585">
        <v>56</v>
      </c>
      <c r="B70" s="587" t="s">
        <v>2571</v>
      </c>
      <c r="C70" s="585">
        <v>56</v>
      </c>
      <c r="D70" s="629" t="s">
        <v>2219</v>
      </c>
      <c r="E70" s="586" t="s">
        <v>2219</v>
      </c>
      <c r="F70" s="675">
        <v>4.2571999999999999E-2</v>
      </c>
      <c r="G70" s="676">
        <v>2538.48</v>
      </c>
      <c r="H70" s="588">
        <v>487.2</v>
      </c>
      <c r="I70" s="587" t="s">
        <v>549</v>
      </c>
      <c r="J70" s="585">
        <v>1</v>
      </c>
      <c r="K70" s="585" t="s">
        <v>595</v>
      </c>
      <c r="L70" s="678">
        <v>348</v>
      </c>
      <c r="M70" s="649" t="s">
        <v>2533</v>
      </c>
      <c r="N70" s="679">
        <v>67.071199999999919</v>
      </c>
      <c r="O70" s="679">
        <v>134.15400000000011</v>
      </c>
      <c r="P70" s="589" t="s">
        <v>2534</v>
      </c>
      <c r="Q70" s="680">
        <v>336.67839999999967</v>
      </c>
      <c r="R70" s="696"/>
      <c r="S70" s="553"/>
      <c r="T70" s="553"/>
      <c r="U70" s="553"/>
      <c r="V70" s="553"/>
      <c r="W70" s="553"/>
      <c r="X70" s="553"/>
      <c r="Y70" s="553"/>
      <c r="Z70" s="553"/>
      <c r="AA70" s="553"/>
      <c r="AB70" s="554"/>
      <c r="AC70" s="555"/>
      <c r="AD70" s="556"/>
      <c r="AE70" s="556"/>
      <c r="AF70" s="556"/>
      <c r="AG70" s="556"/>
    </row>
    <row r="71" spans="1:33">
      <c r="A71" s="585">
        <v>57</v>
      </c>
      <c r="B71" s="587" t="s">
        <v>10403</v>
      </c>
      <c r="C71" s="585">
        <v>57</v>
      </c>
      <c r="D71" s="629" t="s">
        <v>2219</v>
      </c>
      <c r="E71" s="586" t="s">
        <v>10437</v>
      </c>
      <c r="F71" s="675">
        <v>4.2298000000000002E-2</v>
      </c>
      <c r="G71" s="676">
        <v>2538.48</v>
      </c>
      <c r="H71" s="588">
        <v>487.2</v>
      </c>
      <c r="I71" s="587" t="s">
        <v>549</v>
      </c>
      <c r="J71" s="585">
        <v>1</v>
      </c>
      <c r="K71" s="585" t="s">
        <v>10470</v>
      </c>
      <c r="L71" s="678">
        <v>348</v>
      </c>
      <c r="M71" s="649" t="s">
        <v>2533</v>
      </c>
      <c r="N71" s="679">
        <v>67.071199999999919</v>
      </c>
      <c r="O71" s="679">
        <v>134.15399999999985</v>
      </c>
      <c r="P71" s="589" t="s">
        <v>2534</v>
      </c>
      <c r="Q71" s="680">
        <v>336.67840000000001</v>
      </c>
      <c r="R71" s="696"/>
      <c r="S71" s="553"/>
      <c r="T71" s="553"/>
      <c r="U71" s="553"/>
      <c r="V71" s="553"/>
      <c r="W71" s="553"/>
      <c r="X71" s="553"/>
      <c r="Y71" s="553"/>
      <c r="Z71" s="553"/>
      <c r="AA71" s="553"/>
      <c r="AB71" s="554"/>
      <c r="AC71" s="555"/>
      <c r="AD71" s="556"/>
      <c r="AE71" s="556"/>
      <c r="AF71" s="556"/>
      <c r="AG71" s="556"/>
    </row>
    <row r="72" spans="1:33">
      <c r="A72" s="585">
        <v>58</v>
      </c>
      <c r="B72" s="587" t="s">
        <v>10404</v>
      </c>
      <c r="C72" s="585">
        <v>58</v>
      </c>
      <c r="D72" s="629" t="s">
        <v>2219</v>
      </c>
      <c r="E72" s="586" t="s">
        <v>10438</v>
      </c>
      <c r="F72" s="675">
        <v>4.2298000000000002E-2</v>
      </c>
      <c r="G72" s="676">
        <v>2538.48</v>
      </c>
      <c r="H72" s="588">
        <v>487.2</v>
      </c>
      <c r="I72" s="587" t="s">
        <v>549</v>
      </c>
      <c r="J72" s="585">
        <v>1</v>
      </c>
      <c r="K72" s="585" t="s">
        <v>10471</v>
      </c>
      <c r="L72" s="678">
        <v>348</v>
      </c>
      <c r="M72" s="649" t="s">
        <v>2533</v>
      </c>
      <c r="N72" s="679">
        <v>67.071199999999919</v>
      </c>
      <c r="O72" s="679">
        <v>134.15399999999985</v>
      </c>
      <c r="P72" s="589" t="s">
        <v>2534</v>
      </c>
      <c r="Q72" s="680">
        <v>336.67840000000001</v>
      </c>
      <c r="R72" s="696"/>
      <c r="S72" s="553"/>
      <c r="T72" s="553"/>
      <c r="U72" s="553"/>
      <c r="V72" s="553"/>
      <c r="W72" s="553"/>
      <c r="X72" s="553"/>
      <c r="Y72" s="553"/>
      <c r="Z72" s="553"/>
      <c r="AA72" s="553"/>
      <c r="AB72" s="554"/>
      <c r="AC72" s="555"/>
      <c r="AD72" s="556"/>
      <c r="AE72" s="556"/>
      <c r="AF72" s="556"/>
      <c r="AG72" s="556"/>
    </row>
    <row r="73" spans="1:33">
      <c r="A73" s="585">
        <v>59</v>
      </c>
      <c r="B73" s="587" t="s">
        <v>3498</v>
      </c>
      <c r="C73" s="585">
        <v>59</v>
      </c>
      <c r="D73" s="629" t="s">
        <v>2219</v>
      </c>
      <c r="E73" s="586" t="s">
        <v>3500</v>
      </c>
      <c r="F73" s="675">
        <v>4.2571999999999999E-2</v>
      </c>
      <c r="G73" s="676">
        <v>2538.48</v>
      </c>
      <c r="H73" s="588">
        <v>487.2</v>
      </c>
      <c r="I73" s="587" t="s">
        <v>549</v>
      </c>
      <c r="J73" s="585">
        <v>1</v>
      </c>
      <c r="K73" s="585" t="s">
        <v>3502</v>
      </c>
      <c r="L73" s="678">
        <v>348</v>
      </c>
      <c r="M73" s="649" t="s">
        <v>2533</v>
      </c>
      <c r="N73" s="679">
        <v>67.071199999999919</v>
      </c>
      <c r="O73" s="679">
        <v>134.15400000000011</v>
      </c>
      <c r="P73" s="589" t="s">
        <v>2534</v>
      </c>
      <c r="Q73" s="680">
        <v>336.67839999999967</v>
      </c>
      <c r="R73" s="696"/>
      <c r="S73" s="553"/>
      <c r="T73" s="553"/>
      <c r="U73" s="553"/>
      <c r="V73" s="553"/>
      <c r="W73" s="553"/>
      <c r="X73" s="553"/>
      <c r="Y73" s="553"/>
      <c r="Z73" s="553"/>
      <c r="AA73" s="553"/>
      <c r="AB73" s="554"/>
      <c r="AC73" s="555"/>
      <c r="AD73" s="556"/>
      <c r="AE73" s="556"/>
      <c r="AF73" s="556"/>
      <c r="AG73" s="556"/>
    </row>
    <row r="74" spans="1:33">
      <c r="A74" s="585">
        <v>60</v>
      </c>
      <c r="B74" s="587" t="s">
        <v>5131</v>
      </c>
      <c r="C74" s="585">
        <v>60</v>
      </c>
      <c r="D74" s="629" t="s">
        <v>2219</v>
      </c>
      <c r="E74" s="586" t="s">
        <v>5143</v>
      </c>
      <c r="F74" s="675">
        <v>4.2571999999999999E-2</v>
      </c>
      <c r="G74" s="676">
        <v>2538.48</v>
      </c>
      <c r="H74" s="588">
        <v>487.2</v>
      </c>
      <c r="I74" s="587" t="s">
        <v>549</v>
      </c>
      <c r="J74" s="585">
        <v>1</v>
      </c>
      <c r="K74" s="585" t="s">
        <v>5155</v>
      </c>
      <c r="L74" s="678">
        <v>348</v>
      </c>
      <c r="M74" s="649" t="s">
        <v>2533</v>
      </c>
      <c r="N74" s="679">
        <v>67.071199999999919</v>
      </c>
      <c r="O74" s="679">
        <v>134.15399999999983</v>
      </c>
      <c r="P74" s="589" t="s">
        <v>2534</v>
      </c>
      <c r="Q74" s="680">
        <v>336.67839999999967</v>
      </c>
      <c r="R74" s="696"/>
      <c r="S74" s="553"/>
      <c r="T74" s="553"/>
      <c r="U74" s="553"/>
      <c r="V74" s="553"/>
      <c r="W74" s="553"/>
      <c r="X74" s="553"/>
      <c r="Y74" s="553"/>
      <c r="Z74" s="553"/>
      <c r="AA74" s="553"/>
      <c r="AB74" s="554"/>
      <c r="AC74" s="555"/>
      <c r="AD74" s="556"/>
      <c r="AE74" s="556"/>
      <c r="AF74" s="556"/>
      <c r="AG74" s="556"/>
    </row>
    <row r="75" spans="1:33">
      <c r="A75" s="585">
        <v>61</v>
      </c>
      <c r="B75" s="587" t="s">
        <v>10405</v>
      </c>
      <c r="C75" s="585">
        <v>61</v>
      </c>
      <c r="D75" s="629" t="s">
        <v>2219</v>
      </c>
      <c r="E75" s="586" t="s">
        <v>10439</v>
      </c>
      <c r="F75" s="675">
        <v>4.1354000000000002E-2</v>
      </c>
      <c r="G75" s="676">
        <v>2538.48</v>
      </c>
      <c r="H75" s="588">
        <v>487.2</v>
      </c>
      <c r="I75" s="587" t="s">
        <v>549</v>
      </c>
      <c r="J75" s="585">
        <v>1</v>
      </c>
      <c r="K75" s="585" t="s">
        <v>10472</v>
      </c>
      <c r="L75" s="678">
        <v>348</v>
      </c>
      <c r="M75" s="649" t="s">
        <v>2533</v>
      </c>
      <c r="N75" s="679">
        <v>67.071199999999919</v>
      </c>
      <c r="O75" s="679">
        <v>134.15399999999985</v>
      </c>
      <c r="P75" s="589" t="s">
        <v>2534</v>
      </c>
      <c r="Q75" s="680">
        <v>336.67840000000001</v>
      </c>
      <c r="R75" s="696"/>
      <c r="S75" s="553"/>
      <c r="T75" s="553"/>
      <c r="U75" s="553"/>
      <c r="V75" s="553"/>
      <c r="W75" s="553"/>
      <c r="X75" s="553"/>
      <c r="Y75" s="553"/>
      <c r="Z75" s="553"/>
      <c r="AA75" s="553"/>
      <c r="AB75" s="554"/>
      <c r="AC75" s="555"/>
      <c r="AD75" s="556"/>
      <c r="AE75" s="556"/>
      <c r="AF75" s="556"/>
      <c r="AG75" s="556"/>
    </row>
    <row r="76" spans="1:33">
      <c r="A76" s="585">
        <v>62</v>
      </c>
      <c r="B76" s="587" t="s">
        <v>3499</v>
      </c>
      <c r="C76" s="585">
        <v>62</v>
      </c>
      <c r="D76" s="629" t="s">
        <v>2219</v>
      </c>
      <c r="E76" s="586" t="s">
        <v>3501</v>
      </c>
      <c r="F76" s="675">
        <v>4.2571999999999999E-2</v>
      </c>
      <c r="G76" s="676">
        <v>2538.48</v>
      </c>
      <c r="H76" s="588">
        <v>487.2</v>
      </c>
      <c r="I76" s="587" t="s">
        <v>549</v>
      </c>
      <c r="J76" s="585">
        <v>1</v>
      </c>
      <c r="K76" s="585" t="s">
        <v>3503</v>
      </c>
      <c r="L76" s="678">
        <v>348</v>
      </c>
      <c r="M76" s="649" t="s">
        <v>2533</v>
      </c>
      <c r="N76" s="679">
        <v>67.071199999999919</v>
      </c>
      <c r="O76" s="679">
        <v>134.15400000000011</v>
      </c>
      <c r="P76" s="589" t="s">
        <v>2534</v>
      </c>
      <c r="Q76" s="680">
        <v>336.67839999999967</v>
      </c>
      <c r="R76" s="696"/>
      <c r="S76" s="553"/>
      <c r="T76" s="553"/>
      <c r="U76" s="553"/>
      <c r="V76" s="553"/>
      <c r="W76" s="553"/>
      <c r="X76" s="553"/>
      <c r="Y76" s="553"/>
      <c r="Z76" s="553"/>
      <c r="AA76" s="553"/>
      <c r="AB76" s="554"/>
      <c r="AC76" s="555"/>
      <c r="AD76" s="556"/>
      <c r="AE76" s="556"/>
      <c r="AF76" s="556"/>
      <c r="AG76" s="556"/>
    </row>
    <row r="77" spans="1:33">
      <c r="A77" s="585">
        <v>63</v>
      </c>
      <c r="B77" s="587" t="s">
        <v>10406</v>
      </c>
      <c r="C77" s="585">
        <v>63</v>
      </c>
      <c r="D77" s="629" t="s">
        <v>2219</v>
      </c>
      <c r="E77" s="586" t="s">
        <v>10440</v>
      </c>
      <c r="F77" s="675">
        <v>3.6269999999999997E-2</v>
      </c>
      <c r="G77" s="676">
        <v>2538.48</v>
      </c>
      <c r="H77" s="588">
        <v>487.2</v>
      </c>
      <c r="I77" s="587" t="s">
        <v>549</v>
      </c>
      <c r="J77" s="585">
        <v>1</v>
      </c>
      <c r="K77" s="585" t="s">
        <v>10473</v>
      </c>
      <c r="L77" s="678">
        <v>348</v>
      </c>
      <c r="M77" s="649" t="s">
        <v>2533</v>
      </c>
      <c r="N77" s="679">
        <v>67.071199999999919</v>
      </c>
      <c r="O77" s="679">
        <v>134.15399999999985</v>
      </c>
      <c r="P77" s="589" t="s">
        <v>2534</v>
      </c>
      <c r="Q77" s="680">
        <v>336.67840000000001</v>
      </c>
      <c r="R77" s="696"/>
      <c r="S77" s="553"/>
      <c r="T77" s="553"/>
      <c r="U77" s="553"/>
      <c r="V77" s="553"/>
      <c r="W77" s="553"/>
      <c r="X77" s="553"/>
      <c r="Y77" s="553"/>
      <c r="Z77" s="553"/>
      <c r="AA77" s="553"/>
      <c r="AB77" s="554"/>
      <c r="AC77" s="555"/>
      <c r="AD77" s="556"/>
      <c r="AE77" s="556"/>
      <c r="AF77" s="556"/>
      <c r="AG77" s="556"/>
    </row>
    <row r="78" spans="1:33">
      <c r="A78" s="585">
        <v>64</v>
      </c>
      <c r="B78" s="587" t="s">
        <v>3454</v>
      </c>
      <c r="C78" s="585">
        <v>64</v>
      </c>
      <c r="D78" s="629" t="s">
        <v>2219</v>
      </c>
      <c r="E78" s="586" t="s">
        <v>2376</v>
      </c>
      <c r="F78" s="675">
        <v>4.2951699999999995E-2</v>
      </c>
      <c r="G78" s="676">
        <v>2538.48</v>
      </c>
      <c r="H78" s="588">
        <v>487.2</v>
      </c>
      <c r="I78" s="587" t="s">
        <v>549</v>
      </c>
      <c r="J78" s="585">
        <v>1</v>
      </c>
      <c r="K78" s="585" t="s">
        <v>596</v>
      </c>
      <c r="L78" s="678">
        <v>348</v>
      </c>
      <c r="M78" s="649" t="s">
        <v>2533</v>
      </c>
      <c r="N78" s="679">
        <v>67.071199999999919</v>
      </c>
      <c r="O78" s="679">
        <v>134.15400000000011</v>
      </c>
      <c r="P78" s="589" t="s">
        <v>2534</v>
      </c>
      <c r="Q78" s="680">
        <v>336.67839999999967</v>
      </c>
      <c r="R78" s="696"/>
      <c r="S78" s="553"/>
      <c r="T78" s="553"/>
      <c r="U78" s="553"/>
      <c r="V78" s="553"/>
      <c r="W78" s="553"/>
      <c r="X78" s="553"/>
      <c r="Y78" s="553"/>
      <c r="Z78" s="553"/>
      <c r="AA78" s="553"/>
      <c r="AB78" s="554"/>
      <c r="AC78" s="555"/>
      <c r="AD78" s="556"/>
      <c r="AE78" s="556"/>
      <c r="AF78" s="556"/>
      <c r="AG78" s="556"/>
    </row>
    <row r="79" spans="1:33">
      <c r="A79" s="585">
        <v>65</v>
      </c>
      <c r="B79" s="587" t="s">
        <v>2572</v>
      </c>
      <c r="C79" s="585">
        <v>65</v>
      </c>
      <c r="D79" s="629" t="s">
        <v>2219</v>
      </c>
      <c r="E79" s="586" t="s">
        <v>2377</v>
      </c>
      <c r="F79" s="675">
        <v>4.2571999999999999E-2</v>
      </c>
      <c r="G79" s="676">
        <v>2538.48</v>
      </c>
      <c r="H79" s="588">
        <v>487.2</v>
      </c>
      <c r="I79" s="587" t="s">
        <v>549</v>
      </c>
      <c r="J79" s="585">
        <v>1</v>
      </c>
      <c r="K79" s="585" t="s">
        <v>597</v>
      </c>
      <c r="L79" s="678">
        <v>348</v>
      </c>
      <c r="M79" s="649" t="s">
        <v>2533</v>
      </c>
      <c r="N79" s="679">
        <v>67.071199999999919</v>
      </c>
      <c r="O79" s="679">
        <v>134.15400000000011</v>
      </c>
      <c r="P79" s="589" t="s">
        <v>2534</v>
      </c>
      <c r="Q79" s="680">
        <v>336.67839999999967</v>
      </c>
      <c r="R79" s="696"/>
      <c r="S79" s="553"/>
      <c r="T79" s="553"/>
      <c r="U79" s="553"/>
      <c r="V79" s="553"/>
      <c r="W79" s="553"/>
      <c r="X79" s="553"/>
      <c r="Y79" s="553"/>
      <c r="Z79" s="553"/>
      <c r="AA79" s="553"/>
      <c r="AB79" s="554"/>
      <c r="AC79" s="555"/>
      <c r="AD79" s="556"/>
      <c r="AE79" s="556"/>
      <c r="AF79" s="556"/>
      <c r="AG79" s="556"/>
    </row>
    <row r="80" spans="1:33">
      <c r="A80" s="585">
        <v>66</v>
      </c>
      <c r="B80" s="587" t="s">
        <v>2573</v>
      </c>
      <c r="C80" s="585">
        <v>66</v>
      </c>
      <c r="D80" s="629" t="s">
        <v>2219</v>
      </c>
      <c r="E80" s="586" t="s">
        <v>2378</v>
      </c>
      <c r="F80" s="675">
        <v>4.2571999999999999E-2</v>
      </c>
      <c r="G80" s="676">
        <v>2538.48</v>
      </c>
      <c r="H80" s="588">
        <v>487.2</v>
      </c>
      <c r="I80" s="587" t="s">
        <v>549</v>
      </c>
      <c r="J80" s="585">
        <v>1</v>
      </c>
      <c r="K80" s="585" t="s">
        <v>598</v>
      </c>
      <c r="L80" s="678">
        <v>348</v>
      </c>
      <c r="M80" s="649" t="s">
        <v>2533</v>
      </c>
      <c r="N80" s="679">
        <v>67.071199999999919</v>
      </c>
      <c r="O80" s="679">
        <v>134.15400000000011</v>
      </c>
      <c r="P80" s="589" t="s">
        <v>2534</v>
      </c>
      <c r="Q80" s="680">
        <v>336.67839999999967</v>
      </c>
      <c r="R80" s="696"/>
      <c r="S80" s="553"/>
      <c r="T80" s="553"/>
      <c r="U80" s="553"/>
      <c r="V80" s="553"/>
      <c r="W80" s="553"/>
      <c r="X80" s="553"/>
      <c r="Y80" s="553"/>
      <c r="Z80" s="553"/>
      <c r="AA80" s="553"/>
      <c r="AB80" s="554"/>
      <c r="AC80" s="555"/>
      <c r="AD80" s="556"/>
      <c r="AE80" s="556"/>
      <c r="AF80" s="556"/>
      <c r="AG80" s="556"/>
    </row>
    <row r="81" spans="1:33">
      <c r="A81" s="585">
        <v>67</v>
      </c>
      <c r="B81" s="587" t="s">
        <v>4407</v>
      </c>
      <c r="C81" s="585">
        <v>67</v>
      </c>
      <c r="D81" s="629" t="s">
        <v>2219</v>
      </c>
      <c r="E81" s="586" t="s">
        <v>4413</v>
      </c>
      <c r="F81" s="675">
        <v>4.2571999999999999E-2</v>
      </c>
      <c r="G81" s="676">
        <v>2538.48</v>
      </c>
      <c r="H81" s="588">
        <v>487.2</v>
      </c>
      <c r="I81" s="587" t="s">
        <v>549</v>
      </c>
      <c r="J81" s="585">
        <v>1</v>
      </c>
      <c r="K81" s="585" t="s">
        <v>4417</v>
      </c>
      <c r="L81" s="678">
        <v>348</v>
      </c>
      <c r="M81" s="649" t="s">
        <v>2533</v>
      </c>
      <c r="N81" s="679">
        <v>67.071199999999919</v>
      </c>
      <c r="O81" s="679">
        <v>134.15400000000011</v>
      </c>
      <c r="P81" s="589" t="s">
        <v>2534</v>
      </c>
      <c r="Q81" s="680">
        <v>336.67839999999967</v>
      </c>
      <c r="R81" s="696"/>
      <c r="S81" s="553"/>
      <c r="T81" s="553"/>
      <c r="U81" s="553"/>
      <c r="V81" s="553"/>
      <c r="W81" s="553"/>
      <c r="X81" s="553"/>
      <c r="Y81" s="553"/>
      <c r="Z81" s="553"/>
      <c r="AA81" s="553"/>
      <c r="AB81" s="554"/>
      <c r="AC81" s="555"/>
      <c r="AD81" s="556"/>
      <c r="AE81" s="556"/>
      <c r="AF81" s="556"/>
      <c r="AG81" s="556"/>
    </row>
    <row r="82" spans="1:33">
      <c r="A82" s="585">
        <v>68</v>
      </c>
      <c r="B82" s="587" t="s">
        <v>2574</v>
      </c>
      <c r="C82" s="585">
        <v>68</v>
      </c>
      <c r="D82" s="629" t="s">
        <v>2219</v>
      </c>
      <c r="E82" s="586" t="s">
        <v>2379</v>
      </c>
      <c r="F82" s="675">
        <v>4.2571999999999999E-2</v>
      </c>
      <c r="G82" s="676">
        <v>2538.48</v>
      </c>
      <c r="H82" s="588">
        <v>487.2</v>
      </c>
      <c r="I82" s="587" t="s">
        <v>549</v>
      </c>
      <c r="J82" s="585">
        <v>1</v>
      </c>
      <c r="K82" s="585" t="s">
        <v>599</v>
      </c>
      <c r="L82" s="678">
        <v>348</v>
      </c>
      <c r="M82" s="649" t="s">
        <v>2533</v>
      </c>
      <c r="N82" s="679">
        <v>67.071199999999919</v>
      </c>
      <c r="O82" s="679">
        <v>134.15400000000011</v>
      </c>
      <c r="P82" s="589" t="s">
        <v>2534</v>
      </c>
      <c r="Q82" s="680">
        <v>336.67839999999967</v>
      </c>
      <c r="R82" s="696"/>
      <c r="S82" s="553"/>
      <c r="T82" s="553"/>
      <c r="U82" s="553"/>
      <c r="V82" s="553"/>
      <c r="W82" s="553"/>
      <c r="X82" s="553"/>
      <c r="Y82" s="553"/>
      <c r="Z82" s="553"/>
      <c r="AA82" s="553"/>
      <c r="AB82" s="554"/>
      <c r="AC82" s="555"/>
      <c r="AD82" s="556"/>
      <c r="AE82" s="556"/>
      <c r="AF82" s="556"/>
      <c r="AG82" s="556"/>
    </row>
    <row r="83" spans="1:33">
      <c r="A83" s="585">
        <v>69</v>
      </c>
      <c r="B83" s="587" t="s">
        <v>2575</v>
      </c>
      <c r="C83" s="585">
        <v>69</v>
      </c>
      <c r="D83" s="629" t="s">
        <v>2219</v>
      </c>
      <c r="E83" s="586" t="s">
        <v>2380</v>
      </c>
      <c r="F83" s="675">
        <v>4.2571999999999999E-2</v>
      </c>
      <c r="G83" s="676">
        <v>2538.48</v>
      </c>
      <c r="H83" s="588">
        <v>487.2</v>
      </c>
      <c r="I83" s="587" t="s">
        <v>549</v>
      </c>
      <c r="J83" s="585">
        <v>1</v>
      </c>
      <c r="K83" s="585" t="s">
        <v>600</v>
      </c>
      <c r="L83" s="678">
        <v>348</v>
      </c>
      <c r="M83" s="649" t="s">
        <v>2533</v>
      </c>
      <c r="N83" s="679">
        <v>67.071199999999919</v>
      </c>
      <c r="O83" s="679">
        <v>134.15400000000011</v>
      </c>
      <c r="P83" s="589" t="s">
        <v>2534</v>
      </c>
      <c r="Q83" s="680">
        <v>336.67839999999967</v>
      </c>
      <c r="R83" s="696"/>
      <c r="S83" s="553"/>
      <c r="T83" s="553"/>
      <c r="U83" s="553"/>
      <c r="V83" s="553"/>
      <c r="W83" s="553"/>
      <c r="X83" s="553"/>
      <c r="Y83" s="553"/>
      <c r="Z83" s="553"/>
      <c r="AA83" s="553"/>
      <c r="AB83" s="554"/>
      <c r="AC83" s="555"/>
      <c r="AD83" s="556"/>
      <c r="AE83" s="556"/>
      <c r="AF83" s="556"/>
      <c r="AG83" s="556"/>
    </row>
    <row r="84" spans="1:33">
      <c r="A84" s="585">
        <v>70</v>
      </c>
      <c r="B84" s="587" t="s">
        <v>3382</v>
      </c>
      <c r="C84" s="585">
        <v>70</v>
      </c>
      <c r="D84" s="629" t="s">
        <v>2219</v>
      </c>
      <c r="E84" s="586" t="s">
        <v>3410</v>
      </c>
      <c r="F84" s="675">
        <v>4.2571999999999999E-2</v>
      </c>
      <c r="G84" s="676">
        <v>2538.48</v>
      </c>
      <c r="H84" s="588">
        <v>487.2</v>
      </c>
      <c r="I84" s="587" t="s">
        <v>549</v>
      </c>
      <c r="J84" s="585">
        <v>1</v>
      </c>
      <c r="K84" s="585" t="s">
        <v>3436</v>
      </c>
      <c r="L84" s="678">
        <v>348</v>
      </c>
      <c r="M84" s="649" t="s">
        <v>2533</v>
      </c>
      <c r="N84" s="679">
        <v>67.071199999999919</v>
      </c>
      <c r="O84" s="679">
        <v>134.15400000000011</v>
      </c>
      <c r="P84" s="589" t="s">
        <v>2534</v>
      </c>
      <c r="Q84" s="680">
        <v>336.67839999999967</v>
      </c>
      <c r="R84" s="696"/>
      <c r="S84" s="553"/>
      <c r="T84" s="553"/>
      <c r="U84" s="553"/>
      <c r="V84" s="553"/>
      <c r="W84" s="553"/>
      <c r="X84" s="553"/>
      <c r="Y84" s="553"/>
      <c r="Z84" s="553"/>
      <c r="AA84" s="553"/>
      <c r="AB84" s="554"/>
      <c r="AC84" s="555"/>
      <c r="AD84" s="556"/>
      <c r="AE84" s="556"/>
      <c r="AF84" s="556"/>
      <c r="AG84" s="556"/>
    </row>
    <row r="85" spans="1:33">
      <c r="A85" s="585">
        <v>71</v>
      </c>
      <c r="B85" s="587" t="s">
        <v>2576</v>
      </c>
      <c r="C85" s="585">
        <v>71</v>
      </c>
      <c r="D85" s="629" t="s">
        <v>2220</v>
      </c>
      <c r="E85" s="586" t="s">
        <v>4439</v>
      </c>
      <c r="F85" s="675">
        <v>4.8639700000000001E-2</v>
      </c>
      <c r="G85" s="676">
        <v>3463.0023344000001</v>
      </c>
      <c r="H85" s="588">
        <v>487.2</v>
      </c>
      <c r="I85" s="587" t="s">
        <v>601</v>
      </c>
      <c r="J85" s="585">
        <v>2</v>
      </c>
      <c r="K85" s="585" t="s">
        <v>602</v>
      </c>
      <c r="L85" s="678">
        <v>348</v>
      </c>
      <c r="M85" s="649" t="s">
        <v>2533</v>
      </c>
      <c r="N85" s="679">
        <v>121.62599999999989</v>
      </c>
      <c r="O85" s="679">
        <v>243.24040000000008</v>
      </c>
      <c r="P85" s="589" t="s">
        <v>2534</v>
      </c>
      <c r="Q85" s="680">
        <v>336.67839999999967</v>
      </c>
      <c r="R85" s="696"/>
      <c r="S85" s="553"/>
      <c r="T85" s="553"/>
      <c r="U85" s="553"/>
      <c r="V85" s="553"/>
      <c r="W85" s="553"/>
      <c r="X85" s="553"/>
      <c r="Y85" s="553"/>
      <c r="Z85" s="553"/>
      <c r="AA85" s="553"/>
      <c r="AB85" s="554"/>
      <c r="AC85" s="555"/>
      <c r="AD85" s="556"/>
      <c r="AE85" s="556"/>
      <c r="AF85" s="556"/>
      <c r="AG85" s="556"/>
    </row>
    <row r="86" spans="1:33">
      <c r="A86" s="585">
        <v>72</v>
      </c>
      <c r="B86" s="587" t="s">
        <v>2578</v>
      </c>
      <c r="C86" s="585">
        <v>72</v>
      </c>
      <c r="D86" s="629" t="s">
        <v>2220</v>
      </c>
      <c r="E86" s="586" t="s">
        <v>4438</v>
      </c>
      <c r="F86" s="675">
        <v>4.8639700000000001E-2</v>
      </c>
      <c r="G86" s="676">
        <v>3463.0023344000001</v>
      </c>
      <c r="H86" s="588">
        <v>487.2</v>
      </c>
      <c r="I86" s="587" t="s">
        <v>601</v>
      </c>
      <c r="J86" s="585">
        <v>2</v>
      </c>
      <c r="K86" s="585" t="s">
        <v>604</v>
      </c>
      <c r="L86" s="678">
        <v>348</v>
      </c>
      <c r="M86" s="649" t="s">
        <v>2533</v>
      </c>
      <c r="N86" s="679">
        <v>121.62599999999989</v>
      </c>
      <c r="O86" s="679">
        <v>243.24040000000008</v>
      </c>
      <c r="P86" s="589" t="s">
        <v>2534</v>
      </c>
      <c r="Q86" s="680">
        <v>336.67839999999967</v>
      </c>
      <c r="R86" s="696"/>
      <c r="S86" s="553"/>
      <c r="T86" s="553"/>
      <c r="U86" s="553"/>
      <c r="V86" s="553"/>
      <c r="W86" s="553"/>
      <c r="X86" s="553"/>
      <c r="Y86" s="553"/>
      <c r="Z86" s="553"/>
      <c r="AA86" s="553"/>
      <c r="AB86" s="554"/>
      <c r="AC86" s="555"/>
      <c r="AD86" s="556"/>
      <c r="AE86" s="556"/>
      <c r="AF86" s="556"/>
      <c r="AG86" s="556"/>
    </row>
    <row r="87" spans="1:33">
      <c r="A87" s="585">
        <v>73</v>
      </c>
      <c r="B87" s="587" t="s">
        <v>2579</v>
      </c>
      <c r="C87" s="585">
        <v>73</v>
      </c>
      <c r="D87" s="629" t="s">
        <v>2220</v>
      </c>
      <c r="E87" s="586" t="s">
        <v>4437</v>
      </c>
      <c r="F87" s="675">
        <v>4.8639700000000001E-2</v>
      </c>
      <c r="G87" s="676">
        <v>3463.0023344000001</v>
      </c>
      <c r="H87" s="588">
        <v>487.2</v>
      </c>
      <c r="I87" s="587" t="s">
        <v>601</v>
      </c>
      <c r="J87" s="585">
        <v>2</v>
      </c>
      <c r="K87" s="585" t="s">
        <v>605</v>
      </c>
      <c r="L87" s="678">
        <v>348</v>
      </c>
      <c r="M87" s="649" t="s">
        <v>2533</v>
      </c>
      <c r="N87" s="679">
        <v>121.62599999999989</v>
      </c>
      <c r="O87" s="679">
        <v>243.24040000000008</v>
      </c>
      <c r="P87" s="589" t="s">
        <v>2534</v>
      </c>
      <c r="Q87" s="680">
        <v>336.67839999999967</v>
      </c>
      <c r="R87" s="696"/>
      <c r="S87" s="553"/>
      <c r="T87" s="553"/>
      <c r="U87" s="553"/>
      <c r="V87" s="553"/>
      <c r="W87" s="553"/>
      <c r="X87" s="553"/>
      <c r="Y87" s="553"/>
      <c r="Z87" s="553"/>
      <c r="AA87" s="553"/>
      <c r="AB87" s="554"/>
      <c r="AC87" s="555"/>
      <c r="AD87" s="556"/>
      <c r="AE87" s="556"/>
      <c r="AF87" s="556"/>
      <c r="AG87" s="556"/>
    </row>
    <row r="88" spans="1:33">
      <c r="A88" s="585">
        <v>74</v>
      </c>
      <c r="B88" s="587" t="s">
        <v>2580</v>
      </c>
      <c r="C88" s="585">
        <v>74</v>
      </c>
      <c r="D88" s="629" t="s">
        <v>2220</v>
      </c>
      <c r="E88" s="586" t="s">
        <v>4436</v>
      </c>
      <c r="F88" s="675">
        <v>4.8639700000000001E-2</v>
      </c>
      <c r="G88" s="676">
        <v>3463.0023344000001</v>
      </c>
      <c r="H88" s="588">
        <v>487.2</v>
      </c>
      <c r="I88" s="587" t="s">
        <v>601</v>
      </c>
      <c r="J88" s="585">
        <v>2</v>
      </c>
      <c r="K88" s="585" t="s">
        <v>606</v>
      </c>
      <c r="L88" s="678">
        <v>348</v>
      </c>
      <c r="M88" s="649" t="s">
        <v>2533</v>
      </c>
      <c r="N88" s="679">
        <v>121.62599999999989</v>
      </c>
      <c r="O88" s="679">
        <v>243.24040000000008</v>
      </c>
      <c r="P88" s="589" t="s">
        <v>2534</v>
      </c>
      <c r="Q88" s="680">
        <v>336.67839999999967</v>
      </c>
      <c r="R88" s="696"/>
      <c r="S88" s="553"/>
      <c r="T88" s="553"/>
      <c r="U88" s="553"/>
      <c r="V88" s="553"/>
      <c r="W88" s="553"/>
      <c r="X88" s="553"/>
      <c r="Y88" s="553"/>
      <c r="Z88" s="553"/>
      <c r="AA88" s="553"/>
      <c r="AB88" s="554"/>
      <c r="AC88" s="555"/>
      <c r="AD88" s="556"/>
      <c r="AE88" s="556"/>
      <c r="AF88" s="556"/>
      <c r="AG88" s="556"/>
    </row>
    <row r="89" spans="1:33">
      <c r="A89" s="585">
        <v>75</v>
      </c>
      <c r="B89" s="587" t="s">
        <v>2581</v>
      </c>
      <c r="C89" s="585">
        <v>75</v>
      </c>
      <c r="D89" s="629" t="s">
        <v>2220</v>
      </c>
      <c r="E89" s="586" t="s">
        <v>4435</v>
      </c>
      <c r="F89" s="675">
        <v>4.8639700000000001E-2</v>
      </c>
      <c r="G89" s="676">
        <v>3463.0023344000001</v>
      </c>
      <c r="H89" s="588">
        <v>487.2</v>
      </c>
      <c r="I89" s="587" t="s">
        <v>601</v>
      </c>
      <c r="J89" s="585">
        <v>2</v>
      </c>
      <c r="K89" s="585" t="s">
        <v>607</v>
      </c>
      <c r="L89" s="678">
        <v>348</v>
      </c>
      <c r="M89" s="649" t="s">
        <v>2533</v>
      </c>
      <c r="N89" s="679">
        <v>121.62599999999989</v>
      </c>
      <c r="O89" s="679">
        <v>243.24040000000008</v>
      </c>
      <c r="P89" s="589" t="s">
        <v>2534</v>
      </c>
      <c r="Q89" s="680">
        <v>336.67839999999967</v>
      </c>
      <c r="R89" s="696"/>
      <c r="S89" s="553"/>
      <c r="T89" s="553"/>
      <c r="U89" s="553"/>
      <c r="V89" s="553"/>
      <c r="W89" s="553"/>
      <c r="X89" s="553"/>
      <c r="Y89" s="553"/>
      <c r="Z89" s="553"/>
      <c r="AA89" s="553"/>
      <c r="AB89" s="554"/>
      <c r="AC89" s="555"/>
      <c r="AD89" s="556"/>
      <c r="AE89" s="556"/>
      <c r="AF89" s="556"/>
      <c r="AG89" s="556"/>
    </row>
    <row r="90" spans="1:33">
      <c r="A90" s="585">
        <v>76</v>
      </c>
      <c r="B90" s="587" t="s">
        <v>2582</v>
      </c>
      <c r="C90" s="585">
        <v>76</v>
      </c>
      <c r="D90" s="629" t="s">
        <v>2220</v>
      </c>
      <c r="E90" s="586" t="s">
        <v>4434</v>
      </c>
      <c r="F90" s="675">
        <v>4.8639700000000001E-2</v>
      </c>
      <c r="G90" s="676">
        <v>3463.0023344000001</v>
      </c>
      <c r="H90" s="588">
        <v>487.2</v>
      </c>
      <c r="I90" s="587" t="s">
        <v>601</v>
      </c>
      <c r="J90" s="585">
        <v>2</v>
      </c>
      <c r="K90" s="585" t="s">
        <v>608</v>
      </c>
      <c r="L90" s="678">
        <v>348</v>
      </c>
      <c r="M90" s="649" t="s">
        <v>2533</v>
      </c>
      <c r="N90" s="679">
        <v>121.62599999999989</v>
      </c>
      <c r="O90" s="679">
        <v>243.24040000000008</v>
      </c>
      <c r="P90" s="589" t="s">
        <v>2534</v>
      </c>
      <c r="Q90" s="680">
        <v>336.67839999999967</v>
      </c>
      <c r="R90" s="696"/>
      <c r="S90" s="553"/>
      <c r="T90" s="553"/>
      <c r="U90" s="553"/>
      <c r="V90" s="553"/>
      <c r="W90" s="553"/>
      <c r="X90" s="553"/>
      <c r="Y90" s="553"/>
      <c r="Z90" s="553"/>
      <c r="AA90" s="553"/>
      <c r="AB90" s="554"/>
      <c r="AC90" s="555"/>
      <c r="AD90" s="556"/>
      <c r="AE90" s="556"/>
      <c r="AF90" s="556"/>
      <c r="AG90" s="556"/>
    </row>
    <row r="91" spans="1:33">
      <c r="A91" s="585">
        <v>77</v>
      </c>
      <c r="B91" s="587" t="s">
        <v>10407</v>
      </c>
      <c r="C91" s="585">
        <v>77</v>
      </c>
      <c r="D91" s="629" t="s">
        <v>2220</v>
      </c>
      <c r="E91" s="586" t="s">
        <v>10441</v>
      </c>
      <c r="F91" s="675">
        <v>4.8640000000000003E-2</v>
      </c>
      <c r="G91" s="676">
        <v>3463</v>
      </c>
      <c r="H91" s="588">
        <v>487.2</v>
      </c>
      <c r="I91" s="587" t="s">
        <v>601</v>
      </c>
      <c r="J91" s="585">
        <v>2</v>
      </c>
      <c r="K91" s="585" t="s">
        <v>10474</v>
      </c>
      <c r="L91" s="678">
        <v>348</v>
      </c>
      <c r="M91" s="649" t="s">
        <v>2533</v>
      </c>
      <c r="N91" s="679">
        <v>121.62599999999989</v>
      </c>
      <c r="O91" s="679">
        <v>243.24040000000008</v>
      </c>
      <c r="P91" s="589" t="s">
        <v>2534</v>
      </c>
      <c r="Q91" s="680">
        <v>336.67839999999967</v>
      </c>
      <c r="R91" s="696"/>
      <c r="S91" s="553"/>
      <c r="T91" s="553"/>
      <c r="U91" s="553"/>
      <c r="V91" s="553"/>
      <c r="W91" s="553"/>
      <c r="X91" s="553"/>
      <c r="Y91" s="553"/>
      <c r="Z91" s="553"/>
      <c r="AA91" s="553"/>
      <c r="AB91" s="554"/>
      <c r="AC91" s="555"/>
      <c r="AD91" s="556"/>
      <c r="AE91" s="556"/>
      <c r="AF91" s="556"/>
      <c r="AG91" s="556"/>
    </row>
    <row r="92" spans="1:33">
      <c r="A92" s="585">
        <v>78</v>
      </c>
      <c r="B92" s="587" t="s">
        <v>4357</v>
      </c>
      <c r="C92" s="585">
        <v>78</v>
      </c>
      <c r="D92" s="629" t="s">
        <v>2220</v>
      </c>
      <c r="E92" s="586" t="s">
        <v>4433</v>
      </c>
      <c r="F92" s="675">
        <v>3.1363000000000002E-2</v>
      </c>
      <c r="G92" s="676">
        <v>7453.37</v>
      </c>
      <c r="H92" s="588">
        <v>487.2</v>
      </c>
      <c r="I92" s="587" t="s">
        <v>3793</v>
      </c>
      <c r="J92" s="585">
        <v>3</v>
      </c>
      <c r="K92" s="585" t="s">
        <v>4358</v>
      </c>
      <c r="L92" s="678">
        <v>0</v>
      </c>
      <c r="M92" s="649" t="s">
        <v>2533</v>
      </c>
      <c r="N92" s="679">
        <v>298.14</v>
      </c>
      <c r="O92" s="679">
        <v>596.29</v>
      </c>
      <c r="P92" s="589" t="s">
        <v>2534</v>
      </c>
      <c r="Q92" s="680">
        <v>0</v>
      </c>
      <c r="R92" s="696"/>
      <c r="S92" s="553"/>
      <c r="T92" s="553"/>
      <c r="U92" s="553"/>
      <c r="V92" s="553"/>
      <c r="W92" s="553"/>
      <c r="X92" s="553"/>
      <c r="Y92" s="553"/>
      <c r="Z92" s="553"/>
      <c r="AA92" s="553"/>
      <c r="AB92" s="554"/>
      <c r="AC92" s="555"/>
      <c r="AD92" s="556"/>
      <c r="AE92" s="556"/>
      <c r="AF92" s="556"/>
      <c r="AG92" s="556"/>
    </row>
    <row r="93" spans="1:33">
      <c r="A93" s="585">
        <v>79</v>
      </c>
      <c r="B93" s="587" t="s">
        <v>5132</v>
      </c>
      <c r="C93" s="585">
        <v>79</v>
      </c>
      <c r="D93" s="629" t="s">
        <v>2220</v>
      </c>
      <c r="E93" s="586" t="s">
        <v>5144</v>
      </c>
      <c r="F93" s="675">
        <v>2.8934000000000001E-2</v>
      </c>
      <c r="G93" s="676">
        <v>8154.31</v>
      </c>
      <c r="H93" s="588">
        <v>487.2</v>
      </c>
      <c r="I93" s="587" t="s">
        <v>3793</v>
      </c>
      <c r="J93" s="585">
        <v>3</v>
      </c>
      <c r="K93" s="585" t="s">
        <v>5156</v>
      </c>
      <c r="L93" s="678">
        <v>0</v>
      </c>
      <c r="M93" s="649" t="s">
        <v>2533</v>
      </c>
      <c r="N93" s="679">
        <v>284.72500000000036</v>
      </c>
      <c r="O93" s="679">
        <v>569.44999999999982</v>
      </c>
      <c r="P93" s="589" t="s">
        <v>2534</v>
      </c>
      <c r="Q93" s="680">
        <v>0</v>
      </c>
      <c r="R93" s="696"/>
      <c r="S93" s="553"/>
      <c r="T93" s="553"/>
      <c r="U93" s="553"/>
      <c r="V93" s="553"/>
      <c r="W93" s="553"/>
      <c r="X93" s="553"/>
      <c r="Y93" s="553"/>
      <c r="Z93" s="553"/>
      <c r="AA93" s="553"/>
      <c r="AB93" s="554"/>
      <c r="AC93" s="555"/>
      <c r="AD93" s="556"/>
      <c r="AE93" s="556"/>
      <c r="AF93" s="556"/>
      <c r="AG93" s="556"/>
    </row>
    <row r="94" spans="1:33">
      <c r="A94" s="585">
        <v>80</v>
      </c>
      <c r="B94" s="587" t="s">
        <v>2577</v>
      </c>
      <c r="C94" s="585">
        <v>80</v>
      </c>
      <c r="D94" s="629" t="s">
        <v>2220</v>
      </c>
      <c r="E94" s="586" t="s">
        <v>2381</v>
      </c>
      <c r="F94" s="675">
        <v>4.5187099999999994E-2</v>
      </c>
      <c r="G94" s="676">
        <v>2538.48</v>
      </c>
      <c r="H94" s="588">
        <v>487.2</v>
      </c>
      <c r="I94" s="587" t="s">
        <v>549</v>
      </c>
      <c r="J94" s="585">
        <v>1</v>
      </c>
      <c r="K94" s="585" t="s">
        <v>603</v>
      </c>
      <c r="L94" s="678">
        <v>348</v>
      </c>
      <c r="M94" s="649" t="s">
        <v>2533</v>
      </c>
      <c r="N94" s="679">
        <v>67.071199999999919</v>
      </c>
      <c r="O94" s="679">
        <v>134.15400000000011</v>
      </c>
      <c r="P94" s="589" t="s">
        <v>2534</v>
      </c>
      <c r="Q94" s="680">
        <v>336.67839999999967</v>
      </c>
      <c r="R94" s="696"/>
      <c r="S94" s="553"/>
      <c r="T94" s="553"/>
      <c r="U94" s="553"/>
      <c r="V94" s="553"/>
      <c r="W94" s="553"/>
      <c r="X94" s="553"/>
      <c r="Y94" s="553"/>
      <c r="Z94" s="553"/>
      <c r="AA94" s="553"/>
      <c r="AB94" s="554"/>
      <c r="AC94" s="555"/>
      <c r="AD94" s="556"/>
      <c r="AE94" s="556"/>
      <c r="AF94" s="556"/>
      <c r="AG94" s="556"/>
    </row>
    <row r="95" spans="1:33">
      <c r="A95" s="585">
        <v>81</v>
      </c>
      <c r="B95" s="587" t="s">
        <v>10408</v>
      </c>
      <c r="C95" s="585">
        <v>81</v>
      </c>
      <c r="D95" s="629" t="s">
        <v>10431</v>
      </c>
      <c r="E95" s="586" t="s">
        <v>10442</v>
      </c>
      <c r="F95" s="675">
        <v>6.2548000000000006E-2</v>
      </c>
      <c r="G95" s="676">
        <v>3463</v>
      </c>
      <c r="H95" s="588">
        <v>487.2</v>
      </c>
      <c r="I95" s="587" t="s">
        <v>601</v>
      </c>
      <c r="J95" s="585">
        <v>2</v>
      </c>
      <c r="K95" s="585" t="s">
        <v>5159</v>
      </c>
      <c r="L95" s="678">
        <v>348</v>
      </c>
      <c r="M95" s="649" t="s">
        <v>2533</v>
      </c>
      <c r="N95" s="679">
        <v>121.62599999999989</v>
      </c>
      <c r="O95" s="679">
        <v>243.24040000000008</v>
      </c>
      <c r="P95" s="589" t="s">
        <v>2534</v>
      </c>
      <c r="Q95" s="680">
        <v>336.67839999999967</v>
      </c>
      <c r="R95" s="696"/>
      <c r="S95" s="553"/>
      <c r="T95" s="553"/>
      <c r="U95" s="553"/>
      <c r="V95" s="553"/>
      <c r="W95" s="553"/>
      <c r="X95" s="553"/>
      <c r="Y95" s="553"/>
      <c r="Z95" s="553"/>
      <c r="AA95" s="553"/>
      <c r="AB95" s="554"/>
      <c r="AC95" s="555"/>
      <c r="AD95" s="556"/>
      <c r="AE95" s="556"/>
      <c r="AF95" s="556"/>
      <c r="AG95" s="556"/>
    </row>
    <row r="96" spans="1:33">
      <c r="A96" s="585">
        <v>82</v>
      </c>
      <c r="B96" s="587" t="s">
        <v>2583</v>
      </c>
      <c r="C96" s="585">
        <v>82</v>
      </c>
      <c r="D96" s="629" t="s">
        <v>2287</v>
      </c>
      <c r="E96" s="586" t="s">
        <v>4440</v>
      </c>
      <c r="F96" s="675">
        <v>4.2464199999999994E-2</v>
      </c>
      <c r="G96" s="676">
        <v>2538.48</v>
      </c>
      <c r="H96" s="588">
        <v>487.2</v>
      </c>
      <c r="I96" s="587" t="s">
        <v>549</v>
      </c>
      <c r="J96" s="585">
        <v>1</v>
      </c>
      <c r="K96" s="585" t="s">
        <v>609</v>
      </c>
      <c r="L96" s="678">
        <v>348</v>
      </c>
      <c r="M96" s="649" t="s">
        <v>2533</v>
      </c>
      <c r="N96" s="679">
        <v>67.071199999999919</v>
      </c>
      <c r="O96" s="679">
        <v>134.15400000000011</v>
      </c>
      <c r="P96" s="589" t="s">
        <v>2534</v>
      </c>
      <c r="Q96" s="680">
        <v>336.67839999999967</v>
      </c>
      <c r="R96" s="696"/>
      <c r="S96" s="553"/>
      <c r="T96" s="553"/>
      <c r="U96" s="553"/>
      <c r="V96" s="553"/>
      <c r="W96" s="553"/>
      <c r="X96" s="553"/>
      <c r="Y96" s="553"/>
      <c r="Z96" s="553"/>
      <c r="AA96" s="553"/>
      <c r="AB96" s="554"/>
      <c r="AC96" s="555"/>
      <c r="AD96" s="556"/>
      <c r="AE96" s="556"/>
      <c r="AF96" s="556"/>
      <c r="AG96" s="556"/>
    </row>
    <row r="97" spans="1:33">
      <c r="A97" s="585">
        <v>83</v>
      </c>
      <c r="B97" s="587" t="s">
        <v>2584</v>
      </c>
      <c r="C97" s="585">
        <v>83</v>
      </c>
      <c r="D97" s="629" t="s">
        <v>2287</v>
      </c>
      <c r="E97" s="586" t="s">
        <v>2382</v>
      </c>
      <c r="F97" s="675">
        <v>4.3338299999999996E-2</v>
      </c>
      <c r="G97" s="676">
        <v>2538.48</v>
      </c>
      <c r="H97" s="588">
        <v>487.2</v>
      </c>
      <c r="I97" s="587" t="s">
        <v>549</v>
      </c>
      <c r="J97" s="585">
        <v>1</v>
      </c>
      <c r="K97" s="585" t="s">
        <v>610</v>
      </c>
      <c r="L97" s="678">
        <v>348</v>
      </c>
      <c r="M97" s="649" t="s">
        <v>2533</v>
      </c>
      <c r="N97" s="679">
        <v>67.071199999999919</v>
      </c>
      <c r="O97" s="679">
        <v>134.15400000000011</v>
      </c>
      <c r="P97" s="589" t="s">
        <v>2534</v>
      </c>
      <c r="Q97" s="680">
        <v>336.67839999999967</v>
      </c>
      <c r="R97" s="696"/>
      <c r="S97" s="553"/>
      <c r="T97" s="553"/>
      <c r="U97" s="553"/>
      <c r="V97" s="553"/>
      <c r="W97" s="553"/>
      <c r="X97" s="553"/>
      <c r="Y97" s="553"/>
      <c r="Z97" s="553"/>
      <c r="AA97" s="553"/>
      <c r="AB97" s="554"/>
      <c r="AC97" s="555"/>
      <c r="AD97" s="556"/>
      <c r="AE97" s="556"/>
      <c r="AF97" s="556"/>
      <c r="AG97" s="556"/>
    </row>
    <row r="98" spans="1:33">
      <c r="A98" s="585">
        <v>84</v>
      </c>
      <c r="B98" s="587" t="s">
        <v>2585</v>
      </c>
      <c r="C98" s="585">
        <v>84</v>
      </c>
      <c r="D98" s="629" t="s">
        <v>2287</v>
      </c>
      <c r="E98" s="586" t="s">
        <v>2383</v>
      </c>
      <c r="F98" s="675">
        <v>3.8203100000000004E-2</v>
      </c>
      <c r="G98" s="676">
        <v>2538.48</v>
      </c>
      <c r="H98" s="588">
        <v>487.2</v>
      </c>
      <c r="I98" s="587" t="s">
        <v>549</v>
      </c>
      <c r="J98" s="585">
        <v>1</v>
      </c>
      <c r="K98" s="585" t="s">
        <v>611</v>
      </c>
      <c r="L98" s="678">
        <v>348</v>
      </c>
      <c r="M98" s="649" t="s">
        <v>2533</v>
      </c>
      <c r="N98" s="679">
        <v>67.071199999999919</v>
      </c>
      <c r="O98" s="679">
        <v>134.15400000000011</v>
      </c>
      <c r="P98" s="589" t="s">
        <v>2534</v>
      </c>
      <c r="Q98" s="680">
        <v>336.67839999999967</v>
      </c>
      <c r="R98" s="696"/>
      <c r="S98" s="553"/>
      <c r="T98" s="553"/>
      <c r="U98" s="553"/>
      <c r="V98" s="553"/>
      <c r="W98" s="553"/>
      <c r="X98" s="553"/>
      <c r="Y98" s="553"/>
      <c r="Z98" s="553"/>
      <c r="AA98" s="553"/>
      <c r="AB98" s="554"/>
      <c r="AC98" s="555"/>
      <c r="AD98" s="556"/>
      <c r="AE98" s="556"/>
      <c r="AF98" s="556"/>
      <c r="AG98" s="556"/>
    </row>
    <row r="99" spans="1:33">
      <c r="A99" s="585">
        <v>85</v>
      </c>
      <c r="B99" s="587" t="s">
        <v>3504</v>
      </c>
      <c r="C99" s="585">
        <v>85</v>
      </c>
      <c r="D99" s="629" t="s">
        <v>2287</v>
      </c>
      <c r="E99" s="586" t="s">
        <v>3505</v>
      </c>
      <c r="F99" s="675">
        <v>4.3338299999999996E-2</v>
      </c>
      <c r="G99" s="676">
        <v>2538.48</v>
      </c>
      <c r="H99" s="588">
        <v>487.2</v>
      </c>
      <c r="I99" s="587" t="s">
        <v>549</v>
      </c>
      <c r="J99" s="585">
        <v>1</v>
      </c>
      <c r="K99" s="585" t="s">
        <v>3506</v>
      </c>
      <c r="L99" s="678">
        <v>348</v>
      </c>
      <c r="M99" s="649" t="s">
        <v>2533</v>
      </c>
      <c r="N99" s="679">
        <v>67.071199999999919</v>
      </c>
      <c r="O99" s="679">
        <v>134.15400000000011</v>
      </c>
      <c r="P99" s="589" t="s">
        <v>2534</v>
      </c>
      <c r="Q99" s="680">
        <v>336.67839999999967</v>
      </c>
      <c r="R99" s="696"/>
      <c r="S99" s="553"/>
      <c r="T99" s="553"/>
      <c r="U99" s="553"/>
      <c r="V99" s="553"/>
      <c r="W99" s="553"/>
      <c r="X99" s="553"/>
      <c r="Y99" s="553"/>
      <c r="Z99" s="553"/>
      <c r="AA99" s="553"/>
      <c r="AB99" s="554"/>
      <c r="AC99" s="555"/>
      <c r="AD99" s="556"/>
      <c r="AE99" s="556"/>
      <c r="AF99" s="556"/>
      <c r="AG99" s="556"/>
    </row>
    <row r="100" spans="1:33">
      <c r="A100" s="585">
        <v>86</v>
      </c>
      <c r="B100" s="587" t="s">
        <v>2586</v>
      </c>
      <c r="C100" s="585">
        <v>86</v>
      </c>
      <c r="D100" s="629" t="s">
        <v>2287</v>
      </c>
      <c r="E100" s="586" t="s">
        <v>2384</v>
      </c>
      <c r="F100" s="675">
        <v>5.6520400000000005E-2</v>
      </c>
      <c r="G100" s="676">
        <v>2538.48</v>
      </c>
      <c r="H100" s="588">
        <v>487.2</v>
      </c>
      <c r="I100" s="587" t="s">
        <v>549</v>
      </c>
      <c r="J100" s="585">
        <v>1</v>
      </c>
      <c r="K100" s="585" t="s">
        <v>612</v>
      </c>
      <c r="L100" s="678">
        <v>348</v>
      </c>
      <c r="M100" s="649" t="s">
        <v>2533</v>
      </c>
      <c r="N100" s="679">
        <v>67.071199999999919</v>
      </c>
      <c r="O100" s="679">
        <v>134.15400000000011</v>
      </c>
      <c r="P100" s="589" t="s">
        <v>2534</v>
      </c>
      <c r="Q100" s="680">
        <v>336.67839999999967</v>
      </c>
      <c r="R100" s="696"/>
      <c r="S100" s="553"/>
      <c r="T100" s="553"/>
      <c r="U100" s="553"/>
      <c r="V100" s="553"/>
      <c r="W100" s="553"/>
      <c r="X100" s="553"/>
      <c r="Y100" s="553"/>
      <c r="Z100" s="553"/>
      <c r="AA100" s="553"/>
      <c r="AB100" s="554"/>
      <c r="AC100" s="555"/>
      <c r="AD100" s="556"/>
      <c r="AE100" s="556"/>
      <c r="AF100" s="556"/>
      <c r="AG100" s="556"/>
    </row>
    <row r="101" spans="1:33">
      <c r="A101" s="585">
        <v>87</v>
      </c>
      <c r="B101" s="587" t="s">
        <v>2587</v>
      </c>
      <c r="C101" s="585">
        <v>87</v>
      </c>
      <c r="D101" s="629" t="s">
        <v>2287</v>
      </c>
      <c r="E101" s="586" t="s">
        <v>2385</v>
      </c>
      <c r="F101" s="675">
        <v>5.5810800000000001E-2</v>
      </c>
      <c r="G101" s="676">
        <v>2538.48</v>
      </c>
      <c r="H101" s="588">
        <v>487.2</v>
      </c>
      <c r="I101" s="587" t="s">
        <v>549</v>
      </c>
      <c r="J101" s="585">
        <v>1</v>
      </c>
      <c r="K101" s="585" t="s">
        <v>613</v>
      </c>
      <c r="L101" s="678">
        <v>348</v>
      </c>
      <c r="M101" s="649" t="s">
        <v>2533</v>
      </c>
      <c r="N101" s="679">
        <v>67.071199999999919</v>
      </c>
      <c r="O101" s="679">
        <v>134.15400000000011</v>
      </c>
      <c r="P101" s="589" t="s">
        <v>2534</v>
      </c>
      <c r="Q101" s="680">
        <v>336.67839999999967</v>
      </c>
      <c r="R101" s="696"/>
      <c r="S101" s="553"/>
      <c r="T101" s="553"/>
      <c r="U101" s="553"/>
      <c r="V101" s="553"/>
      <c r="W101" s="553"/>
      <c r="X101" s="553"/>
      <c r="Y101" s="553"/>
      <c r="Z101" s="553"/>
      <c r="AA101" s="553"/>
      <c r="AB101" s="554"/>
      <c r="AC101" s="555"/>
      <c r="AD101" s="556"/>
      <c r="AE101" s="556"/>
      <c r="AF101" s="556"/>
      <c r="AG101" s="556"/>
    </row>
    <row r="102" spans="1:33">
      <c r="A102" s="585">
        <v>88</v>
      </c>
      <c r="B102" s="587" t="s">
        <v>2588</v>
      </c>
      <c r="C102" s="585">
        <v>88</v>
      </c>
      <c r="D102" s="629" t="s">
        <v>2287</v>
      </c>
      <c r="E102" s="586" t="s">
        <v>2386</v>
      </c>
      <c r="F102" s="675">
        <v>7.0919700000000002E-2</v>
      </c>
      <c r="G102" s="676">
        <v>2538.48</v>
      </c>
      <c r="H102" s="588">
        <v>487.2</v>
      </c>
      <c r="I102" s="587" t="s">
        <v>549</v>
      </c>
      <c r="J102" s="585">
        <v>1</v>
      </c>
      <c r="K102" s="585" t="s">
        <v>614</v>
      </c>
      <c r="L102" s="678">
        <v>348</v>
      </c>
      <c r="M102" s="649" t="s">
        <v>2533</v>
      </c>
      <c r="N102" s="679">
        <v>67.071199999999919</v>
      </c>
      <c r="O102" s="679">
        <v>134.15400000000011</v>
      </c>
      <c r="P102" s="589" t="s">
        <v>2534</v>
      </c>
      <c r="Q102" s="680">
        <v>336.67839999999967</v>
      </c>
      <c r="R102" s="696"/>
      <c r="S102" s="553"/>
      <c r="T102" s="553"/>
      <c r="U102" s="553"/>
      <c r="V102" s="553"/>
      <c r="W102" s="553"/>
      <c r="X102" s="553"/>
      <c r="Y102" s="553"/>
      <c r="Z102" s="553"/>
      <c r="AA102" s="553"/>
      <c r="AB102" s="554"/>
      <c r="AC102" s="555"/>
      <c r="AD102" s="556"/>
      <c r="AE102" s="556"/>
      <c r="AF102" s="556"/>
      <c r="AG102" s="556"/>
    </row>
    <row r="103" spans="1:33">
      <c r="A103" s="585">
        <v>89</v>
      </c>
      <c r="B103" s="587" t="s">
        <v>2589</v>
      </c>
      <c r="C103" s="585">
        <v>89</v>
      </c>
      <c r="D103" s="629" t="s">
        <v>2287</v>
      </c>
      <c r="E103" s="586" t="s">
        <v>2387</v>
      </c>
      <c r="F103" s="675">
        <v>3.8863599999999998E-2</v>
      </c>
      <c r="G103" s="676">
        <v>2538.48</v>
      </c>
      <c r="H103" s="588">
        <v>487.2</v>
      </c>
      <c r="I103" s="587" t="s">
        <v>549</v>
      </c>
      <c r="J103" s="585">
        <v>1</v>
      </c>
      <c r="K103" s="585" t="s">
        <v>615</v>
      </c>
      <c r="L103" s="678">
        <v>348</v>
      </c>
      <c r="M103" s="649" t="s">
        <v>2533</v>
      </c>
      <c r="N103" s="679">
        <v>67.071199999999919</v>
      </c>
      <c r="O103" s="679">
        <v>134.15400000000011</v>
      </c>
      <c r="P103" s="589" t="s">
        <v>2534</v>
      </c>
      <c r="Q103" s="680">
        <v>336.67839999999967</v>
      </c>
      <c r="R103" s="696"/>
      <c r="S103" s="553"/>
      <c r="T103" s="553"/>
      <c r="U103" s="553"/>
      <c r="V103" s="553"/>
      <c r="W103" s="553"/>
      <c r="X103" s="553"/>
      <c r="Y103" s="553"/>
      <c r="Z103" s="553"/>
      <c r="AA103" s="553"/>
      <c r="AB103" s="554"/>
      <c r="AC103" s="555"/>
      <c r="AD103" s="556"/>
      <c r="AE103" s="556"/>
      <c r="AF103" s="556"/>
      <c r="AG103" s="556"/>
    </row>
    <row r="104" spans="1:33">
      <c r="A104" s="585">
        <v>90</v>
      </c>
      <c r="B104" s="587" t="s">
        <v>2590</v>
      </c>
      <c r="C104" s="585">
        <v>90</v>
      </c>
      <c r="D104" s="629" t="s">
        <v>2287</v>
      </c>
      <c r="E104" s="586" t="s">
        <v>2388</v>
      </c>
      <c r="F104" s="675">
        <v>4.9821200000000003E-2</v>
      </c>
      <c r="G104" s="676">
        <v>2538.48</v>
      </c>
      <c r="H104" s="588">
        <v>487.2</v>
      </c>
      <c r="I104" s="587" t="s">
        <v>549</v>
      </c>
      <c r="J104" s="585">
        <v>1</v>
      </c>
      <c r="K104" s="585" t="s">
        <v>616</v>
      </c>
      <c r="L104" s="678">
        <v>348</v>
      </c>
      <c r="M104" s="649" t="s">
        <v>2533</v>
      </c>
      <c r="N104" s="679">
        <v>67.071199999999919</v>
      </c>
      <c r="O104" s="679">
        <v>134.15400000000011</v>
      </c>
      <c r="P104" s="589" t="s">
        <v>2534</v>
      </c>
      <c r="Q104" s="680">
        <v>336.67839999999967</v>
      </c>
      <c r="R104" s="696"/>
      <c r="S104" s="553"/>
      <c r="T104" s="553"/>
      <c r="U104" s="553"/>
      <c r="V104" s="553"/>
      <c r="W104" s="553"/>
      <c r="X104" s="553"/>
      <c r="Y104" s="553"/>
      <c r="Z104" s="553"/>
      <c r="AA104" s="553"/>
      <c r="AB104" s="554"/>
      <c r="AC104" s="555"/>
      <c r="AD104" s="556"/>
      <c r="AE104" s="556"/>
      <c r="AF104" s="556"/>
      <c r="AG104" s="556"/>
    </row>
    <row r="105" spans="1:33">
      <c r="A105" s="585">
        <v>91</v>
      </c>
      <c r="B105" s="587" t="s">
        <v>2591</v>
      </c>
      <c r="C105" s="585">
        <v>91</v>
      </c>
      <c r="D105" s="629" t="s">
        <v>2287</v>
      </c>
      <c r="E105" s="586" t="s">
        <v>2389</v>
      </c>
      <c r="F105" s="675">
        <v>4.6985499999999999E-2</v>
      </c>
      <c r="G105" s="676">
        <v>2538.48</v>
      </c>
      <c r="H105" s="588">
        <v>487.2</v>
      </c>
      <c r="I105" s="587" t="s">
        <v>549</v>
      </c>
      <c r="J105" s="585">
        <v>1</v>
      </c>
      <c r="K105" s="585" t="s">
        <v>617</v>
      </c>
      <c r="L105" s="678">
        <v>348</v>
      </c>
      <c r="M105" s="649" t="s">
        <v>2533</v>
      </c>
      <c r="N105" s="679">
        <v>67.071199999999919</v>
      </c>
      <c r="O105" s="679">
        <v>134.15400000000011</v>
      </c>
      <c r="P105" s="589" t="s">
        <v>2534</v>
      </c>
      <c r="Q105" s="680">
        <v>336.67839999999967</v>
      </c>
      <c r="R105" s="696"/>
      <c r="S105" s="553"/>
      <c r="T105" s="553"/>
      <c r="U105" s="553"/>
      <c r="V105" s="553"/>
      <c r="W105" s="553"/>
      <c r="X105" s="553"/>
      <c r="Y105" s="553"/>
      <c r="Z105" s="553"/>
      <c r="AA105" s="553"/>
      <c r="AB105" s="554"/>
      <c r="AC105" s="555"/>
      <c r="AD105" s="556"/>
      <c r="AE105" s="556"/>
      <c r="AF105" s="556"/>
      <c r="AG105" s="556"/>
    </row>
    <row r="106" spans="1:33">
      <c r="A106" s="585">
        <v>92</v>
      </c>
      <c r="B106" s="587" t="s">
        <v>2592</v>
      </c>
      <c r="C106" s="585">
        <v>92</v>
      </c>
      <c r="D106" s="629" t="s">
        <v>2287</v>
      </c>
      <c r="E106" s="586" t="s">
        <v>2390</v>
      </c>
      <c r="F106" s="675">
        <v>4.4854399999999996E-2</v>
      </c>
      <c r="G106" s="676">
        <v>2538.48</v>
      </c>
      <c r="H106" s="588">
        <v>487.2</v>
      </c>
      <c r="I106" s="587" t="s">
        <v>549</v>
      </c>
      <c r="J106" s="585">
        <v>1</v>
      </c>
      <c r="K106" s="585" t="s">
        <v>618</v>
      </c>
      <c r="L106" s="678">
        <v>348</v>
      </c>
      <c r="M106" s="649" t="s">
        <v>2533</v>
      </c>
      <c r="N106" s="679">
        <v>67.071199999999919</v>
      </c>
      <c r="O106" s="679">
        <v>134.15400000000011</v>
      </c>
      <c r="P106" s="589" t="s">
        <v>2534</v>
      </c>
      <c r="Q106" s="680">
        <v>336.67839999999967</v>
      </c>
      <c r="R106" s="696"/>
      <c r="S106" s="553"/>
      <c r="T106" s="553"/>
      <c r="U106" s="553"/>
      <c r="V106" s="553"/>
      <c r="W106" s="553"/>
      <c r="X106" s="553"/>
      <c r="Y106" s="553"/>
      <c r="Z106" s="553"/>
      <c r="AA106" s="553"/>
      <c r="AB106" s="554"/>
      <c r="AC106" s="555"/>
      <c r="AD106" s="556"/>
      <c r="AE106" s="556"/>
      <c r="AF106" s="556"/>
      <c r="AG106" s="556"/>
    </row>
    <row r="107" spans="1:33">
      <c r="A107" s="585">
        <v>93</v>
      </c>
      <c r="B107" s="587" t="s">
        <v>2593</v>
      </c>
      <c r="C107" s="585">
        <v>93</v>
      </c>
      <c r="D107" s="629" t="s">
        <v>2287</v>
      </c>
      <c r="E107" s="586" t="s">
        <v>2391</v>
      </c>
      <c r="F107" s="675">
        <v>5.2847499999999999E-2</v>
      </c>
      <c r="G107" s="676">
        <v>2538.48</v>
      </c>
      <c r="H107" s="588">
        <v>487.2</v>
      </c>
      <c r="I107" s="587" t="s">
        <v>549</v>
      </c>
      <c r="J107" s="585">
        <v>1</v>
      </c>
      <c r="K107" s="585" t="s">
        <v>619</v>
      </c>
      <c r="L107" s="678">
        <v>348</v>
      </c>
      <c r="M107" s="649" t="s">
        <v>2533</v>
      </c>
      <c r="N107" s="679">
        <v>67.071199999999919</v>
      </c>
      <c r="O107" s="679">
        <v>134.15400000000011</v>
      </c>
      <c r="P107" s="589" t="s">
        <v>2534</v>
      </c>
      <c r="Q107" s="680">
        <v>336.67839999999967</v>
      </c>
      <c r="R107" s="696"/>
      <c r="S107" s="553"/>
      <c r="T107" s="553"/>
      <c r="U107" s="553"/>
      <c r="V107" s="553"/>
      <c r="W107" s="553"/>
      <c r="X107" s="553"/>
      <c r="Y107" s="553"/>
      <c r="Z107" s="553"/>
      <c r="AA107" s="553"/>
      <c r="AB107" s="554"/>
      <c r="AC107" s="555"/>
      <c r="AD107" s="556"/>
      <c r="AE107" s="556"/>
      <c r="AF107" s="556"/>
      <c r="AG107" s="556"/>
    </row>
    <row r="108" spans="1:33">
      <c r="A108" s="585">
        <v>94</v>
      </c>
      <c r="B108" s="587" t="s">
        <v>2594</v>
      </c>
      <c r="C108" s="585">
        <v>94</v>
      </c>
      <c r="D108" s="629" t="s">
        <v>2287</v>
      </c>
      <c r="E108" s="586" t="s">
        <v>2463</v>
      </c>
      <c r="F108" s="675">
        <v>4.8629300000000007E-2</v>
      </c>
      <c r="G108" s="676">
        <v>2538.48</v>
      </c>
      <c r="H108" s="588">
        <v>487.2</v>
      </c>
      <c r="I108" s="587" t="s">
        <v>549</v>
      </c>
      <c r="J108" s="585">
        <v>1</v>
      </c>
      <c r="K108" s="585" t="s">
        <v>2464</v>
      </c>
      <c r="L108" s="678">
        <v>348</v>
      </c>
      <c r="M108" s="649" t="s">
        <v>2533</v>
      </c>
      <c r="N108" s="679">
        <v>67.071199999999919</v>
      </c>
      <c r="O108" s="679">
        <v>134.15400000000011</v>
      </c>
      <c r="P108" s="589" t="s">
        <v>2534</v>
      </c>
      <c r="Q108" s="680">
        <v>336.67839999999967</v>
      </c>
      <c r="R108" s="696"/>
      <c r="S108" s="553"/>
      <c r="T108" s="553"/>
      <c r="U108" s="553"/>
      <c r="V108" s="553"/>
      <c r="W108" s="553"/>
      <c r="X108" s="553"/>
      <c r="Y108" s="553"/>
      <c r="Z108" s="553"/>
      <c r="AA108" s="553"/>
      <c r="AB108" s="554"/>
      <c r="AC108" s="555"/>
      <c r="AD108" s="556"/>
      <c r="AE108" s="556"/>
      <c r="AF108" s="556"/>
      <c r="AG108" s="556"/>
    </row>
    <row r="109" spans="1:33">
      <c r="A109" s="585">
        <v>95</v>
      </c>
      <c r="B109" s="587" t="s">
        <v>2595</v>
      </c>
      <c r="C109" s="585">
        <v>95</v>
      </c>
      <c r="D109" s="629" t="s">
        <v>2287</v>
      </c>
      <c r="E109" s="586" t="s">
        <v>2392</v>
      </c>
      <c r="F109" s="675">
        <v>5.0484000000000001E-2</v>
      </c>
      <c r="G109" s="676">
        <v>3463.0023344000001</v>
      </c>
      <c r="H109" s="588">
        <v>487.2</v>
      </c>
      <c r="I109" s="587" t="s">
        <v>601</v>
      </c>
      <c r="J109" s="585">
        <v>2</v>
      </c>
      <c r="K109" s="585" t="s">
        <v>620</v>
      </c>
      <c r="L109" s="678">
        <v>348</v>
      </c>
      <c r="M109" s="649" t="s">
        <v>2533</v>
      </c>
      <c r="N109" s="679">
        <v>121.62599999999989</v>
      </c>
      <c r="O109" s="679">
        <v>243.24040000000008</v>
      </c>
      <c r="P109" s="589" t="s">
        <v>2534</v>
      </c>
      <c r="Q109" s="680">
        <v>336.67839999999967</v>
      </c>
      <c r="R109" s="696"/>
      <c r="S109" s="553"/>
      <c r="T109" s="553"/>
      <c r="U109" s="553"/>
      <c r="V109" s="553"/>
      <c r="W109" s="553"/>
      <c r="X109" s="553"/>
      <c r="Y109" s="553"/>
      <c r="Z109" s="553"/>
      <c r="AA109" s="553"/>
      <c r="AB109" s="554"/>
      <c r="AC109" s="555"/>
      <c r="AD109" s="556"/>
      <c r="AE109" s="556"/>
      <c r="AF109" s="556"/>
      <c r="AG109" s="556"/>
    </row>
    <row r="110" spans="1:33">
      <c r="A110" s="585">
        <v>96</v>
      </c>
      <c r="B110" s="587" t="s">
        <v>2596</v>
      </c>
      <c r="C110" s="585">
        <v>96</v>
      </c>
      <c r="D110" s="629" t="s">
        <v>2287</v>
      </c>
      <c r="E110" s="586" t="s">
        <v>2393</v>
      </c>
      <c r="F110" s="675">
        <v>3.2280200000000002E-2</v>
      </c>
      <c r="G110" s="676">
        <v>2538.48</v>
      </c>
      <c r="H110" s="588">
        <v>487.2</v>
      </c>
      <c r="I110" s="587" t="s">
        <v>549</v>
      </c>
      <c r="J110" s="585">
        <v>1</v>
      </c>
      <c r="K110" s="585" t="s">
        <v>621</v>
      </c>
      <c r="L110" s="678">
        <v>348</v>
      </c>
      <c r="M110" s="649" t="s">
        <v>2533</v>
      </c>
      <c r="N110" s="679">
        <v>67.071199999999919</v>
      </c>
      <c r="O110" s="679">
        <v>134.15400000000011</v>
      </c>
      <c r="P110" s="589" t="s">
        <v>2534</v>
      </c>
      <c r="Q110" s="680">
        <v>336.67839999999967</v>
      </c>
      <c r="R110" s="696"/>
      <c r="S110" s="553"/>
      <c r="T110" s="553"/>
      <c r="U110" s="553"/>
      <c r="V110" s="553"/>
      <c r="W110" s="553"/>
      <c r="X110" s="553"/>
      <c r="Y110" s="553"/>
      <c r="Z110" s="553"/>
      <c r="AA110" s="553"/>
      <c r="AB110" s="554"/>
      <c r="AC110" s="555"/>
      <c r="AD110" s="556"/>
      <c r="AE110" s="556"/>
      <c r="AF110" s="556"/>
      <c r="AG110" s="556"/>
    </row>
    <row r="111" spans="1:33">
      <c r="A111" s="585">
        <v>97</v>
      </c>
      <c r="B111" s="587" t="s">
        <v>2597</v>
      </c>
      <c r="C111" s="585">
        <v>97</v>
      </c>
      <c r="D111" s="629" t="s">
        <v>2287</v>
      </c>
      <c r="E111" s="586" t="s">
        <v>2394</v>
      </c>
      <c r="F111" s="675">
        <v>5.4342399999999999E-2</v>
      </c>
      <c r="G111" s="676">
        <v>2538.48</v>
      </c>
      <c r="H111" s="588">
        <v>487.2</v>
      </c>
      <c r="I111" s="587" t="s">
        <v>549</v>
      </c>
      <c r="J111" s="585">
        <v>1</v>
      </c>
      <c r="K111" s="585" t="s">
        <v>622</v>
      </c>
      <c r="L111" s="678">
        <v>348</v>
      </c>
      <c r="M111" s="649" t="s">
        <v>2533</v>
      </c>
      <c r="N111" s="679">
        <v>67.071199999999919</v>
      </c>
      <c r="O111" s="679">
        <v>134.15400000000011</v>
      </c>
      <c r="P111" s="589" t="s">
        <v>2534</v>
      </c>
      <c r="Q111" s="680">
        <v>336.67839999999967</v>
      </c>
      <c r="R111" s="696"/>
      <c r="S111" s="553"/>
      <c r="T111" s="553"/>
      <c r="U111" s="553"/>
      <c r="V111" s="553"/>
      <c r="W111" s="553"/>
      <c r="X111" s="553"/>
      <c r="Y111" s="553"/>
      <c r="Z111" s="553"/>
      <c r="AA111" s="553"/>
      <c r="AB111" s="554"/>
      <c r="AC111" s="555"/>
      <c r="AD111" s="556"/>
      <c r="AE111" s="556"/>
      <c r="AF111" s="556"/>
      <c r="AG111" s="556"/>
    </row>
    <row r="112" spans="1:33">
      <c r="A112" s="585">
        <v>98</v>
      </c>
      <c r="B112" s="587" t="s">
        <v>2598</v>
      </c>
      <c r="C112" s="585">
        <v>98</v>
      </c>
      <c r="D112" s="629" t="s">
        <v>2287</v>
      </c>
      <c r="E112" s="586" t="s">
        <v>2395</v>
      </c>
      <c r="F112" s="675">
        <v>4.6190599999999998E-2</v>
      </c>
      <c r="G112" s="676">
        <v>2538.48</v>
      </c>
      <c r="H112" s="588">
        <v>487.2</v>
      </c>
      <c r="I112" s="587" t="s">
        <v>549</v>
      </c>
      <c r="J112" s="585">
        <v>1</v>
      </c>
      <c r="K112" s="585" t="s">
        <v>623</v>
      </c>
      <c r="L112" s="678">
        <v>348</v>
      </c>
      <c r="M112" s="649" t="s">
        <v>2533</v>
      </c>
      <c r="N112" s="679">
        <v>67.071199999999919</v>
      </c>
      <c r="O112" s="679">
        <v>134.15400000000011</v>
      </c>
      <c r="P112" s="589" t="s">
        <v>2534</v>
      </c>
      <c r="Q112" s="680">
        <v>336.67839999999967</v>
      </c>
      <c r="R112" s="696"/>
      <c r="S112" s="553"/>
      <c r="T112" s="553"/>
      <c r="U112" s="553"/>
      <c r="V112" s="553"/>
      <c r="W112" s="553"/>
      <c r="X112" s="553"/>
      <c r="Y112" s="553"/>
      <c r="Z112" s="553"/>
      <c r="AA112" s="553"/>
      <c r="AB112" s="554"/>
      <c r="AC112" s="555"/>
      <c r="AD112" s="556"/>
      <c r="AE112" s="556"/>
      <c r="AF112" s="556"/>
      <c r="AG112" s="556"/>
    </row>
    <row r="113" spans="1:33">
      <c r="A113" s="585">
        <v>99</v>
      </c>
      <c r="B113" s="587" t="s">
        <v>2599</v>
      </c>
      <c r="C113" s="585">
        <v>99</v>
      </c>
      <c r="D113" s="629" t="s">
        <v>2287</v>
      </c>
      <c r="E113" s="586" t="s">
        <v>2396</v>
      </c>
      <c r="F113" s="675">
        <v>5.7402399999999999E-2</v>
      </c>
      <c r="G113" s="676">
        <v>2538.48</v>
      </c>
      <c r="H113" s="588">
        <v>487.2</v>
      </c>
      <c r="I113" s="587" t="s">
        <v>549</v>
      </c>
      <c r="J113" s="585">
        <v>1</v>
      </c>
      <c r="K113" s="585" t="s">
        <v>624</v>
      </c>
      <c r="L113" s="678">
        <v>348</v>
      </c>
      <c r="M113" s="649" t="s">
        <v>2533</v>
      </c>
      <c r="N113" s="679">
        <v>67.071199999999919</v>
      </c>
      <c r="O113" s="679">
        <v>134.15400000000011</v>
      </c>
      <c r="P113" s="589" t="s">
        <v>2534</v>
      </c>
      <c r="Q113" s="680">
        <v>336.67839999999967</v>
      </c>
      <c r="R113" s="696"/>
      <c r="S113" s="553"/>
      <c r="T113" s="553"/>
      <c r="U113" s="553"/>
      <c r="V113" s="553"/>
      <c r="W113" s="553"/>
      <c r="X113" s="553"/>
      <c r="Y113" s="553"/>
      <c r="Z113" s="553"/>
      <c r="AA113" s="553"/>
      <c r="AB113" s="554"/>
      <c r="AC113" s="555"/>
      <c r="AD113" s="556"/>
      <c r="AE113" s="556"/>
      <c r="AF113" s="556"/>
      <c r="AG113" s="556"/>
    </row>
    <row r="114" spans="1:33">
      <c r="A114" s="585">
        <v>100</v>
      </c>
      <c r="B114" s="587" t="s">
        <v>2600</v>
      </c>
      <c r="C114" s="585">
        <v>100</v>
      </c>
      <c r="D114" s="629" t="s">
        <v>2287</v>
      </c>
      <c r="E114" s="586" t="s">
        <v>2397</v>
      </c>
      <c r="F114" s="675">
        <v>4.2173499999999996E-2</v>
      </c>
      <c r="G114" s="676">
        <v>3463.0023344000001</v>
      </c>
      <c r="H114" s="588">
        <v>487.2</v>
      </c>
      <c r="I114" s="587" t="s">
        <v>601</v>
      </c>
      <c r="J114" s="585">
        <v>2</v>
      </c>
      <c r="K114" s="585" t="s">
        <v>625</v>
      </c>
      <c r="L114" s="678">
        <v>348</v>
      </c>
      <c r="M114" s="649" t="s">
        <v>2533</v>
      </c>
      <c r="N114" s="679">
        <v>121.62599999999989</v>
      </c>
      <c r="O114" s="679">
        <v>243.24040000000008</v>
      </c>
      <c r="P114" s="589" t="s">
        <v>2534</v>
      </c>
      <c r="Q114" s="680">
        <v>336.67839999999967</v>
      </c>
      <c r="R114" s="696"/>
      <c r="S114" s="553"/>
      <c r="T114" s="553"/>
      <c r="U114" s="553"/>
      <c r="V114" s="553"/>
      <c r="W114" s="553"/>
      <c r="X114" s="553"/>
      <c r="Y114" s="553"/>
      <c r="Z114" s="553"/>
      <c r="AA114" s="553"/>
      <c r="AB114" s="554"/>
      <c r="AC114" s="555"/>
      <c r="AD114" s="556"/>
      <c r="AE114" s="556"/>
      <c r="AF114" s="556"/>
      <c r="AG114" s="556"/>
    </row>
    <row r="115" spans="1:33">
      <c r="A115" s="585">
        <v>101</v>
      </c>
      <c r="B115" s="587" t="s">
        <v>2601</v>
      </c>
      <c r="C115" s="585">
        <v>101</v>
      </c>
      <c r="D115" s="629" t="s">
        <v>2287</v>
      </c>
      <c r="E115" s="586" t="s">
        <v>2398</v>
      </c>
      <c r="F115" s="675">
        <v>5.2391100000000003E-2</v>
      </c>
      <c r="G115" s="676">
        <v>2538.48</v>
      </c>
      <c r="H115" s="588">
        <v>487.2</v>
      </c>
      <c r="I115" s="587" t="s">
        <v>549</v>
      </c>
      <c r="J115" s="585">
        <v>1</v>
      </c>
      <c r="K115" s="585" t="s">
        <v>626</v>
      </c>
      <c r="L115" s="678">
        <v>348</v>
      </c>
      <c r="M115" s="649" t="s">
        <v>2533</v>
      </c>
      <c r="N115" s="679">
        <v>67.071199999999919</v>
      </c>
      <c r="O115" s="679">
        <v>134.15400000000011</v>
      </c>
      <c r="P115" s="589" t="s">
        <v>2534</v>
      </c>
      <c r="Q115" s="680">
        <v>336.67839999999967</v>
      </c>
      <c r="R115" s="696"/>
      <c r="S115" s="553"/>
      <c r="T115" s="553"/>
      <c r="U115" s="553"/>
      <c r="V115" s="553"/>
      <c r="W115" s="553"/>
      <c r="X115" s="553"/>
      <c r="Y115" s="553"/>
      <c r="Z115" s="553"/>
      <c r="AA115" s="553"/>
      <c r="AB115" s="554"/>
      <c r="AC115" s="555"/>
      <c r="AD115" s="556"/>
      <c r="AE115" s="556"/>
      <c r="AF115" s="556"/>
      <c r="AG115" s="556"/>
    </row>
    <row r="116" spans="1:33">
      <c r="A116" s="585">
        <v>102</v>
      </c>
      <c r="B116" s="587" t="s">
        <v>4545</v>
      </c>
      <c r="C116" s="585">
        <v>102</v>
      </c>
      <c r="D116" s="629" t="s">
        <v>2287</v>
      </c>
      <c r="E116" s="586" t="s">
        <v>4556</v>
      </c>
      <c r="F116" s="675">
        <v>4.1989699999999998E-2</v>
      </c>
      <c r="G116" s="676">
        <v>2538.48</v>
      </c>
      <c r="H116" s="588">
        <v>487.2</v>
      </c>
      <c r="I116" s="587" t="s">
        <v>549</v>
      </c>
      <c r="J116" s="585">
        <v>1</v>
      </c>
      <c r="K116" s="585" t="s">
        <v>4567</v>
      </c>
      <c r="L116" s="678">
        <v>348</v>
      </c>
      <c r="M116" s="649" t="s">
        <v>2533</v>
      </c>
      <c r="N116" s="679">
        <v>67.071199999999919</v>
      </c>
      <c r="O116" s="679">
        <v>134.15400000000011</v>
      </c>
      <c r="P116" s="589" t="s">
        <v>2534</v>
      </c>
      <c r="Q116" s="680">
        <v>336.67839999999967</v>
      </c>
      <c r="R116" s="696"/>
      <c r="S116" s="553"/>
      <c r="T116" s="553"/>
      <c r="U116" s="553"/>
      <c r="V116" s="553"/>
      <c r="W116" s="553"/>
      <c r="X116" s="553"/>
      <c r="Y116" s="553"/>
      <c r="Z116" s="553"/>
      <c r="AA116" s="553"/>
      <c r="AB116" s="554"/>
      <c r="AC116" s="555"/>
      <c r="AD116" s="556"/>
      <c r="AE116" s="556"/>
      <c r="AF116" s="556"/>
      <c r="AG116" s="556"/>
    </row>
    <row r="117" spans="1:33">
      <c r="A117" s="585">
        <v>103</v>
      </c>
      <c r="B117" s="587" t="s">
        <v>2602</v>
      </c>
      <c r="C117" s="585">
        <v>103</v>
      </c>
      <c r="D117" s="629" t="s">
        <v>2287</v>
      </c>
      <c r="E117" s="586" t="s">
        <v>524</v>
      </c>
      <c r="F117" s="675">
        <v>5.56479E-2</v>
      </c>
      <c r="G117" s="676">
        <v>2538.48</v>
      </c>
      <c r="H117" s="588">
        <v>487.2</v>
      </c>
      <c r="I117" s="587" t="s">
        <v>549</v>
      </c>
      <c r="J117" s="585">
        <v>1</v>
      </c>
      <c r="K117" s="585" t="s">
        <v>627</v>
      </c>
      <c r="L117" s="678">
        <v>348</v>
      </c>
      <c r="M117" s="649" t="s">
        <v>2533</v>
      </c>
      <c r="N117" s="679">
        <v>67.071199999999919</v>
      </c>
      <c r="O117" s="679">
        <v>134.15400000000011</v>
      </c>
      <c r="P117" s="589" t="s">
        <v>2534</v>
      </c>
      <c r="Q117" s="680">
        <v>336.67839999999967</v>
      </c>
      <c r="R117" s="696"/>
      <c r="S117" s="553"/>
      <c r="T117" s="553"/>
      <c r="U117" s="553"/>
      <c r="V117" s="553"/>
      <c r="W117" s="553"/>
      <c r="X117" s="553"/>
      <c r="Y117" s="553"/>
      <c r="Z117" s="553"/>
      <c r="AA117" s="553"/>
      <c r="AB117" s="554"/>
      <c r="AC117" s="555"/>
      <c r="AD117" s="556"/>
      <c r="AE117" s="556"/>
      <c r="AF117" s="556"/>
      <c r="AG117" s="556"/>
    </row>
    <row r="118" spans="1:33">
      <c r="A118" s="585">
        <v>104</v>
      </c>
      <c r="B118" s="587" t="s">
        <v>2603</v>
      </c>
      <c r="C118" s="585">
        <v>104</v>
      </c>
      <c r="D118" s="629" t="s">
        <v>2287</v>
      </c>
      <c r="E118" s="586" t="s">
        <v>2399</v>
      </c>
      <c r="F118" s="675">
        <v>3.38204E-2</v>
      </c>
      <c r="G118" s="676">
        <v>3463.0023344000001</v>
      </c>
      <c r="H118" s="588">
        <v>487.2</v>
      </c>
      <c r="I118" s="587" t="s">
        <v>601</v>
      </c>
      <c r="J118" s="585">
        <v>2</v>
      </c>
      <c r="K118" s="585" t="s">
        <v>628</v>
      </c>
      <c r="L118" s="678">
        <v>348</v>
      </c>
      <c r="M118" s="649" t="s">
        <v>2533</v>
      </c>
      <c r="N118" s="679">
        <v>121.62599999999989</v>
      </c>
      <c r="O118" s="679">
        <v>243.24040000000008</v>
      </c>
      <c r="P118" s="589" t="s">
        <v>2534</v>
      </c>
      <c r="Q118" s="680">
        <v>336.67839999999967</v>
      </c>
      <c r="R118" s="696"/>
      <c r="S118" s="553"/>
      <c r="T118" s="553"/>
      <c r="U118" s="553"/>
      <c r="V118" s="553"/>
      <c r="W118" s="553"/>
      <c r="X118" s="553"/>
      <c r="Y118" s="553"/>
      <c r="Z118" s="553"/>
      <c r="AA118" s="553"/>
      <c r="AB118" s="554"/>
      <c r="AC118" s="555"/>
      <c r="AD118" s="556"/>
      <c r="AE118" s="556"/>
      <c r="AF118" s="556"/>
      <c r="AG118" s="556"/>
    </row>
    <row r="119" spans="1:33">
      <c r="A119" s="585">
        <v>105</v>
      </c>
      <c r="B119" s="587" t="s">
        <v>2604</v>
      </c>
      <c r="C119" s="585">
        <v>105</v>
      </c>
      <c r="D119" s="629" t="s">
        <v>2287</v>
      </c>
      <c r="E119" s="586" t="s">
        <v>2400</v>
      </c>
      <c r="F119" s="675">
        <v>4.0833300000000003E-2</v>
      </c>
      <c r="G119" s="676">
        <v>3463.0023344000001</v>
      </c>
      <c r="H119" s="588">
        <v>487.2</v>
      </c>
      <c r="I119" s="587" t="s">
        <v>601</v>
      </c>
      <c r="J119" s="585">
        <v>2</v>
      </c>
      <c r="K119" s="585" t="s">
        <v>629</v>
      </c>
      <c r="L119" s="678">
        <v>348</v>
      </c>
      <c r="M119" s="649" t="s">
        <v>2533</v>
      </c>
      <c r="N119" s="679">
        <v>121.62599999999989</v>
      </c>
      <c r="O119" s="679">
        <v>243.24040000000008</v>
      </c>
      <c r="P119" s="589" t="s">
        <v>2534</v>
      </c>
      <c r="Q119" s="680">
        <v>336.67839999999967</v>
      </c>
      <c r="R119" s="696"/>
      <c r="S119" s="553"/>
      <c r="T119" s="553"/>
      <c r="U119" s="553"/>
      <c r="V119" s="553"/>
      <c r="W119" s="553"/>
      <c r="X119" s="553"/>
      <c r="Y119" s="553"/>
      <c r="Z119" s="553"/>
      <c r="AA119" s="553"/>
      <c r="AB119" s="554"/>
      <c r="AC119" s="555"/>
      <c r="AD119" s="556"/>
      <c r="AE119" s="556"/>
      <c r="AF119" s="556"/>
      <c r="AG119" s="556"/>
    </row>
    <row r="120" spans="1:33">
      <c r="A120" s="585">
        <v>106</v>
      </c>
      <c r="B120" s="587" t="s">
        <v>3507</v>
      </c>
      <c r="C120" s="585">
        <v>106</v>
      </c>
      <c r="D120" s="629" t="s">
        <v>2287</v>
      </c>
      <c r="E120" s="586" t="s">
        <v>3514</v>
      </c>
      <c r="F120" s="675">
        <v>2.8934000000000001E-2</v>
      </c>
      <c r="G120" s="676">
        <v>8154.31</v>
      </c>
      <c r="H120" s="588">
        <v>487.2</v>
      </c>
      <c r="I120" s="587" t="s">
        <v>3793</v>
      </c>
      <c r="J120" s="585">
        <v>3</v>
      </c>
      <c r="K120" s="585" t="s">
        <v>3521</v>
      </c>
      <c r="L120" s="678">
        <v>0</v>
      </c>
      <c r="M120" s="649" t="s">
        <v>2533</v>
      </c>
      <c r="N120" s="679">
        <v>330.29</v>
      </c>
      <c r="O120" s="679">
        <v>660.56</v>
      </c>
      <c r="P120" s="589" t="s">
        <v>2534</v>
      </c>
      <c r="Q120" s="680">
        <v>0</v>
      </c>
      <c r="R120" s="696"/>
      <c r="S120" s="553"/>
      <c r="T120" s="553"/>
      <c r="U120" s="553"/>
      <c r="V120" s="553"/>
      <c r="W120" s="553"/>
      <c r="X120" s="553"/>
      <c r="Y120" s="553"/>
      <c r="Z120" s="553"/>
      <c r="AA120" s="553"/>
      <c r="AB120" s="554"/>
      <c r="AC120" s="555"/>
      <c r="AD120" s="556"/>
      <c r="AE120" s="556"/>
      <c r="AF120" s="556"/>
      <c r="AG120" s="556"/>
    </row>
    <row r="121" spans="1:33">
      <c r="A121" s="585">
        <v>107</v>
      </c>
      <c r="B121" s="587" t="s">
        <v>3508</v>
      </c>
      <c r="C121" s="585">
        <v>107</v>
      </c>
      <c r="D121" s="629" t="s">
        <v>2287</v>
      </c>
      <c r="E121" s="586" t="s">
        <v>3515</v>
      </c>
      <c r="F121" s="675">
        <v>4.0833300000000003E-2</v>
      </c>
      <c r="G121" s="676">
        <v>3463.0023344000001</v>
      </c>
      <c r="H121" s="588">
        <v>487.2</v>
      </c>
      <c r="I121" s="587" t="s">
        <v>601</v>
      </c>
      <c r="J121" s="585">
        <v>2</v>
      </c>
      <c r="K121" s="585" t="s">
        <v>3522</v>
      </c>
      <c r="L121" s="678">
        <v>348</v>
      </c>
      <c r="M121" s="649" t="s">
        <v>2533</v>
      </c>
      <c r="N121" s="679">
        <v>121.62599999999989</v>
      </c>
      <c r="O121" s="679">
        <v>243.24040000000008</v>
      </c>
      <c r="P121" s="589" t="s">
        <v>2534</v>
      </c>
      <c r="Q121" s="680">
        <v>336.67839999999967</v>
      </c>
      <c r="R121" s="696"/>
      <c r="S121" s="553"/>
      <c r="T121" s="553"/>
      <c r="U121" s="553"/>
      <c r="V121" s="553"/>
      <c r="W121" s="553"/>
      <c r="X121" s="553"/>
      <c r="Y121" s="553"/>
      <c r="Z121" s="553"/>
      <c r="AA121" s="553"/>
      <c r="AB121" s="554"/>
      <c r="AC121" s="555"/>
      <c r="AD121" s="556"/>
      <c r="AE121" s="556"/>
      <c r="AF121" s="556"/>
      <c r="AG121" s="556"/>
    </row>
    <row r="122" spans="1:33">
      <c r="A122" s="585">
        <v>108</v>
      </c>
      <c r="B122" s="587" t="s">
        <v>3509</v>
      </c>
      <c r="C122" s="585">
        <v>108</v>
      </c>
      <c r="D122" s="629" t="s">
        <v>2287</v>
      </c>
      <c r="E122" s="586" t="s">
        <v>3516</v>
      </c>
      <c r="F122" s="675">
        <v>4.1638000000000001E-2</v>
      </c>
      <c r="G122" s="676">
        <v>3463.0023344000001</v>
      </c>
      <c r="H122" s="588">
        <v>487.2</v>
      </c>
      <c r="I122" s="587" t="s">
        <v>601</v>
      </c>
      <c r="J122" s="585">
        <v>2</v>
      </c>
      <c r="K122" s="585" t="s">
        <v>3523</v>
      </c>
      <c r="L122" s="678">
        <v>348</v>
      </c>
      <c r="M122" s="649" t="s">
        <v>2533</v>
      </c>
      <c r="N122" s="679">
        <v>121.62599999999989</v>
      </c>
      <c r="O122" s="679">
        <v>243.24040000000008</v>
      </c>
      <c r="P122" s="589" t="s">
        <v>2534</v>
      </c>
      <c r="Q122" s="680">
        <v>336.67839999999967</v>
      </c>
      <c r="R122" s="696"/>
      <c r="S122" s="553"/>
      <c r="T122" s="553"/>
      <c r="U122" s="553"/>
      <c r="V122" s="553"/>
      <c r="W122" s="553"/>
      <c r="X122" s="553"/>
      <c r="Y122" s="553"/>
      <c r="Z122" s="553"/>
      <c r="AA122" s="553"/>
      <c r="AB122" s="554"/>
      <c r="AC122" s="555"/>
      <c r="AD122" s="556"/>
      <c r="AE122" s="556"/>
      <c r="AF122" s="556"/>
      <c r="AG122" s="556"/>
    </row>
    <row r="123" spans="1:33">
      <c r="A123" s="585">
        <v>109</v>
      </c>
      <c r="B123" s="587" t="s">
        <v>3510</v>
      </c>
      <c r="C123" s="585">
        <v>109</v>
      </c>
      <c r="D123" s="629" t="s">
        <v>2287</v>
      </c>
      <c r="E123" s="586" t="s">
        <v>3517</v>
      </c>
      <c r="F123" s="675">
        <v>3.1363000000000002E-2</v>
      </c>
      <c r="G123" s="676">
        <v>7453.37</v>
      </c>
      <c r="H123" s="588">
        <v>487.2</v>
      </c>
      <c r="I123" s="587" t="s">
        <v>3793</v>
      </c>
      <c r="J123" s="585">
        <v>3</v>
      </c>
      <c r="K123" s="585" t="s">
        <v>3524</v>
      </c>
      <c r="L123" s="678">
        <v>0</v>
      </c>
      <c r="M123" s="649" t="s">
        <v>2533</v>
      </c>
      <c r="N123" s="679">
        <v>298.14</v>
      </c>
      <c r="O123" s="679">
        <v>596.29</v>
      </c>
      <c r="P123" s="589" t="s">
        <v>2534</v>
      </c>
      <c r="Q123" s="680">
        <v>0</v>
      </c>
      <c r="R123" s="696"/>
      <c r="S123" s="553"/>
      <c r="T123" s="553"/>
      <c r="U123" s="553"/>
      <c r="V123" s="553"/>
      <c r="W123" s="553"/>
      <c r="X123" s="553"/>
      <c r="Y123" s="553"/>
      <c r="Z123" s="553"/>
      <c r="AA123" s="553"/>
      <c r="AB123" s="554"/>
      <c r="AC123" s="555"/>
      <c r="AD123" s="556"/>
      <c r="AE123" s="556"/>
      <c r="AF123" s="556"/>
      <c r="AG123" s="556"/>
    </row>
    <row r="124" spans="1:33">
      <c r="A124" s="585">
        <v>110</v>
      </c>
      <c r="B124" s="587" t="s">
        <v>3511</v>
      </c>
      <c r="C124" s="585">
        <v>110</v>
      </c>
      <c r="D124" s="629" t="s">
        <v>2287</v>
      </c>
      <c r="E124" s="586" t="s">
        <v>3518</v>
      </c>
      <c r="F124" s="675">
        <v>5.4815199999999994E-2</v>
      </c>
      <c r="G124" s="676">
        <v>2538.48</v>
      </c>
      <c r="H124" s="588">
        <v>487.2</v>
      </c>
      <c r="I124" s="587" t="s">
        <v>549</v>
      </c>
      <c r="J124" s="585">
        <v>1</v>
      </c>
      <c r="K124" s="585" t="s">
        <v>3525</v>
      </c>
      <c r="L124" s="678">
        <v>348</v>
      </c>
      <c r="M124" s="649" t="s">
        <v>2533</v>
      </c>
      <c r="N124" s="679">
        <v>67.071199999999919</v>
      </c>
      <c r="O124" s="679">
        <v>134.15400000000011</v>
      </c>
      <c r="P124" s="589" t="s">
        <v>2534</v>
      </c>
      <c r="Q124" s="680">
        <v>336.67839999999967</v>
      </c>
      <c r="R124" s="696"/>
      <c r="S124" s="553"/>
      <c r="T124" s="553"/>
      <c r="U124" s="553"/>
      <c r="V124" s="553"/>
      <c r="W124" s="553"/>
      <c r="X124" s="553"/>
      <c r="Y124" s="553"/>
      <c r="Z124" s="553"/>
      <c r="AA124" s="553"/>
      <c r="AB124" s="554"/>
      <c r="AC124" s="555"/>
      <c r="AD124" s="556"/>
      <c r="AE124" s="556"/>
      <c r="AF124" s="556"/>
      <c r="AG124" s="556"/>
    </row>
    <row r="125" spans="1:33">
      <c r="A125" s="585">
        <v>111</v>
      </c>
      <c r="B125" s="587" t="s">
        <v>4290</v>
      </c>
      <c r="C125" s="585">
        <v>111</v>
      </c>
      <c r="D125" s="629" t="s">
        <v>2287</v>
      </c>
      <c r="E125" s="586" t="s">
        <v>4291</v>
      </c>
      <c r="F125" s="675">
        <v>5.4815199999999994E-2</v>
      </c>
      <c r="G125" s="676">
        <v>2538.48</v>
      </c>
      <c r="H125" s="588">
        <v>487.2</v>
      </c>
      <c r="I125" s="587" t="s">
        <v>549</v>
      </c>
      <c r="J125" s="585">
        <v>1</v>
      </c>
      <c r="K125" s="585" t="s">
        <v>4292</v>
      </c>
      <c r="L125" s="678">
        <v>348</v>
      </c>
      <c r="M125" s="649" t="s">
        <v>2533</v>
      </c>
      <c r="N125" s="679">
        <v>67.071199999999919</v>
      </c>
      <c r="O125" s="679">
        <v>134.15400000000011</v>
      </c>
      <c r="P125" s="589" t="s">
        <v>2534</v>
      </c>
      <c r="Q125" s="680">
        <v>336.67839999999967</v>
      </c>
      <c r="R125" s="696"/>
      <c r="S125" s="553"/>
      <c r="T125" s="553"/>
      <c r="U125" s="553"/>
      <c r="V125" s="553"/>
      <c r="W125" s="553"/>
      <c r="X125" s="553"/>
      <c r="Y125" s="553"/>
      <c r="Z125" s="553"/>
      <c r="AA125" s="553"/>
      <c r="AB125" s="554"/>
      <c r="AC125" s="555"/>
      <c r="AD125" s="556"/>
      <c r="AE125" s="556"/>
      <c r="AF125" s="556"/>
      <c r="AG125" s="556"/>
    </row>
    <row r="126" spans="1:33">
      <c r="A126" s="585">
        <v>112</v>
      </c>
      <c r="B126" s="587" t="s">
        <v>4293</v>
      </c>
      <c r="C126" s="585">
        <v>112</v>
      </c>
      <c r="D126" s="629" t="s">
        <v>2287</v>
      </c>
      <c r="E126" s="586" t="s">
        <v>4294</v>
      </c>
      <c r="F126" s="675">
        <v>5.4815199999999994E-2</v>
      </c>
      <c r="G126" s="676">
        <v>2538.48</v>
      </c>
      <c r="H126" s="588">
        <v>487.2</v>
      </c>
      <c r="I126" s="587" t="s">
        <v>549</v>
      </c>
      <c r="J126" s="585">
        <v>1</v>
      </c>
      <c r="K126" s="585" t="s">
        <v>4295</v>
      </c>
      <c r="L126" s="678">
        <v>348</v>
      </c>
      <c r="M126" s="649" t="s">
        <v>2533</v>
      </c>
      <c r="N126" s="679">
        <v>67.071199999999919</v>
      </c>
      <c r="O126" s="679">
        <v>134.15400000000011</v>
      </c>
      <c r="P126" s="589" t="s">
        <v>2534</v>
      </c>
      <c r="Q126" s="680">
        <v>336.67839999999967</v>
      </c>
      <c r="R126" s="696"/>
      <c r="S126" s="553"/>
      <c r="T126" s="553"/>
      <c r="U126" s="553"/>
      <c r="V126" s="553"/>
      <c r="W126" s="553"/>
      <c r="X126" s="553"/>
      <c r="Y126" s="553"/>
      <c r="Z126" s="553"/>
      <c r="AA126" s="553"/>
      <c r="AB126" s="554"/>
      <c r="AC126" s="555"/>
      <c r="AD126" s="556"/>
      <c r="AE126" s="556"/>
      <c r="AF126" s="556"/>
      <c r="AG126" s="556"/>
    </row>
    <row r="127" spans="1:33">
      <c r="A127" s="585">
        <v>113</v>
      </c>
      <c r="B127" s="587" t="s">
        <v>3512</v>
      </c>
      <c r="C127" s="585">
        <v>113</v>
      </c>
      <c r="D127" s="629" t="s">
        <v>2287</v>
      </c>
      <c r="E127" s="586" t="s">
        <v>3519</v>
      </c>
      <c r="F127" s="675">
        <v>5.4815199999999994E-2</v>
      </c>
      <c r="G127" s="676">
        <v>2538.48</v>
      </c>
      <c r="H127" s="588">
        <v>487.2</v>
      </c>
      <c r="I127" s="587" t="s">
        <v>549</v>
      </c>
      <c r="J127" s="585">
        <v>1</v>
      </c>
      <c r="K127" s="585" t="s">
        <v>3526</v>
      </c>
      <c r="L127" s="678">
        <v>348</v>
      </c>
      <c r="M127" s="649" t="s">
        <v>2533</v>
      </c>
      <c r="N127" s="679">
        <v>67.071199999999919</v>
      </c>
      <c r="O127" s="679">
        <v>134.15400000000011</v>
      </c>
      <c r="P127" s="589" t="s">
        <v>2534</v>
      </c>
      <c r="Q127" s="680">
        <v>336.67839999999967</v>
      </c>
      <c r="R127" s="696"/>
      <c r="S127" s="553"/>
      <c r="T127" s="553"/>
      <c r="U127" s="553"/>
      <c r="V127" s="553"/>
      <c r="W127" s="553"/>
      <c r="X127" s="553"/>
      <c r="Y127" s="553"/>
      <c r="Z127" s="553"/>
      <c r="AA127" s="553"/>
      <c r="AB127" s="554"/>
      <c r="AC127" s="555"/>
      <c r="AD127" s="556"/>
      <c r="AE127" s="556"/>
      <c r="AF127" s="556"/>
      <c r="AG127" s="556"/>
    </row>
    <row r="128" spans="1:33">
      <c r="A128" s="585">
        <v>114</v>
      </c>
      <c r="B128" s="587" t="s">
        <v>3513</v>
      </c>
      <c r="C128" s="585">
        <v>114</v>
      </c>
      <c r="D128" s="629" t="s">
        <v>2287</v>
      </c>
      <c r="E128" s="586" t="s">
        <v>3520</v>
      </c>
      <c r="F128" s="675">
        <v>5.4815199999999994E-2</v>
      </c>
      <c r="G128" s="676">
        <v>2538.48</v>
      </c>
      <c r="H128" s="588">
        <v>487.2</v>
      </c>
      <c r="I128" s="587" t="s">
        <v>549</v>
      </c>
      <c r="J128" s="585">
        <v>1</v>
      </c>
      <c r="K128" s="585" t="s">
        <v>3527</v>
      </c>
      <c r="L128" s="678">
        <v>348</v>
      </c>
      <c r="M128" s="649" t="s">
        <v>2533</v>
      </c>
      <c r="N128" s="679">
        <v>67.071199999999919</v>
      </c>
      <c r="O128" s="679">
        <v>134.15400000000011</v>
      </c>
      <c r="P128" s="589" t="s">
        <v>2534</v>
      </c>
      <c r="Q128" s="680">
        <v>336.67839999999967</v>
      </c>
      <c r="R128" s="696"/>
      <c r="S128" s="553"/>
      <c r="T128" s="553"/>
      <c r="U128" s="553"/>
      <c r="V128" s="553"/>
      <c r="W128" s="553"/>
      <c r="X128" s="553"/>
      <c r="Y128" s="553"/>
      <c r="Z128" s="553"/>
      <c r="AA128" s="553"/>
      <c r="AB128" s="554"/>
      <c r="AC128" s="555"/>
      <c r="AD128" s="556"/>
      <c r="AE128" s="556"/>
      <c r="AF128" s="556"/>
      <c r="AG128" s="556"/>
    </row>
    <row r="129" spans="1:33">
      <c r="A129" s="585">
        <v>115</v>
      </c>
      <c r="B129" s="587" t="s">
        <v>4296</v>
      </c>
      <c r="C129" s="585">
        <v>115</v>
      </c>
      <c r="D129" s="629" t="s">
        <v>2287</v>
      </c>
      <c r="E129" s="586" t="s">
        <v>4297</v>
      </c>
      <c r="F129" s="675">
        <v>5.4815199999999994E-2</v>
      </c>
      <c r="G129" s="676">
        <v>2538.48</v>
      </c>
      <c r="H129" s="588">
        <v>487.2</v>
      </c>
      <c r="I129" s="587" t="s">
        <v>549</v>
      </c>
      <c r="J129" s="585">
        <v>1</v>
      </c>
      <c r="K129" s="585" t="s">
        <v>4298</v>
      </c>
      <c r="L129" s="678">
        <v>348</v>
      </c>
      <c r="M129" s="649" t="s">
        <v>2533</v>
      </c>
      <c r="N129" s="679">
        <v>67.071199999999919</v>
      </c>
      <c r="O129" s="679">
        <v>134.15400000000011</v>
      </c>
      <c r="P129" s="589" t="s">
        <v>2534</v>
      </c>
      <c r="Q129" s="680">
        <v>336.67839999999967</v>
      </c>
      <c r="R129" s="696"/>
      <c r="S129" s="553"/>
      <c r="T129" s="553"/>
      <c r="U129" s="553"/>
      <c r="V129" s="553"/>
      <c r="W129" s="553"/>
      <c r="X129" s="553"/>
      <c r="Y129" s="553"/>
      <c r="Z129" s="553"/>
      <c r="AA129" s="553"/>
      <c r="AB129" s="554"/>
      <c r="AC129" s="555"/>
      <c r="AD129" s="556"/>
      <c r="AE129" s="556"/>
      <c r="AF129" s="556"/>
      <c r="AG129" s="556"/>
    </row>
    <row r="130" spans="1:33">
      <c r="A130" s="585">
        <v>116</v>
      </c>
      <c r="B130" s="587" t="s">
        <v>2605</v>
      </c>
      <c r="C130" s="585">
        <v>116</v>
      </c>
      <c r="D130" s="629" t="s">
        <v>2287</v>
      </c>
      <c r="E130" s="586" t="s">
        <v>2401</v>
      </c>
      <c r="F130" s="675">
        <v>5.6246099999999993E-2</v>
      </c>
      <c r="G130" s="676">
        <v>2538.48</v>
      </c>
      <c r="H130" s="588">
        <v>487.2</v>
      </c>
      <c r="I130" s="587" t="s">
        <v>549</v>
      </c>
      <c r="J130" s="585">
        <v>1</v>
      </c>
      <c r="K130" s="585" t="s">
        <v>630</v>
      </c>
      <c r="L130" s="678">
        <v>348</v>
      </c>
      <c r="M130" s="649" t="s">
        <v>2533</v>
      </c>
      <c r="N130" s="679">
        <v>67.071199999999919</v>
      </c>
      <c r="O130" s="679">
        <v>134.15400000000011</v>
      </c>
      <c r="P130" s="589" t="s">
        <v>2534</v>
      </c>
      <c r="Q130" s="680">
        <v>336.67839999999967</v>
      </c>
      <c r="R130" s="696"/>
      <c r="S130" s="553"/>
      <c r="T130" s="553"/>
      <c r="U130" s="553"/>
      <c r="V130" s="553"/>
      <c r="W130" s="553"/>
      <c r="X130" s="553"/>
      <c r="Y130" s="553"/>
      <c r="Z130" s="553"/>
      <c r="AA130" s="553"/>
      <c r="AB130" s="554"/>
      <c r="AC130" s="555"/>
      <c r="AD130" s="556"/>
      <c r="AE130" s="556"/>
      <c r="AF130" s="556"/>
      <c r="AG130" s="556"/>
    </row>
    <row r="131" spans="1:33">
      <c r="A131" s="585">
        <v>117</v>
      </c>
      <c r="B131" s="587" t="s">
        <v>2606</v>
      </c>
      <c r="C131" s="585">
        <v>117</v>
      </c>
      <c r="D131" s="629" t="s">
        <v>2287</v>
      </c>
      <c r="E131" s="586" t="s">
        <v>2402</v>
      </c>
      <c r="F131" s="675">
        <v>4.8738200000000002E-2</v>
      </c>
      <c r="G131" s="676">
        <v>2538.48</v>
      </c>
      <c r="H131" s="588">
        <v>487.2</v>
      </c>
      <c r="I131" s="587" t="s">
        <v>549</v>
      </c>
      <c r="J131" s="585">
        <v>1</v>
      </c>
      <c r="K131" s="585" t="s">
        <v>631</v>
      </c>
      <c r="L131" s="678">
        <v>348</v>
      </c>
      <c r="M131" s="649" t="s">
        <v>2533</v>
      </c>
      <c r="N131" s="679">
        <v>67.071199999999919</v>
      </c>
      <c r="O131" s="679">
        <v>134.15400000000011</v>
      </c>
      <c r="P131" s="589" t="s">
        <v>2534</v>
      </c>
      <c r="Q131" s="680">
        <v>336.67839999999967</v>
      </c>
      <c r="R131" s="696"/>
      <c r="S131" s="553"/>
      <c r="T131" s="553"/>
      <c r="U131" s="553"/>
      <c r="V131" s="553"/>
      <c r="W131" s="553"/>
      <c r="X131" s="553"/>
      <c r="Y131" s="553"/>
      <c r="Z131" s="553"/>
      <c r="AA131" s="553"/>
      <c r="AB131" s="554"/>
      <c r="AC131" s="555"/>
      <c r="AD131" s="556"/>
      <c r="AE131" s="556"/>
      <c r="AF131" s="556"/>
      <c r="AG131" s="556"/>
    </row>
    <row r="132" spans="1:33">
      <c r="A132" s="585">
        <v>118</v>
      </c>
      <c r="B132" s="587" t="s">
        <v>2607</v>
      </c>
      <c r="C132" s="585">
        <v>118</v>
      </c>
      <c r="D132" s="629" t="s">
        <v>2287</v>
      </c>
      <c r="E132" s="586" t="s">
        <v>2403</v>
      </c>
      <c r="F132" s="675">
        <v>5.4815199999999994E-2</v>
      </c>
      <c r="G132" s="676">
        <v>2538.48</v>
      </c>
      <c r="H132" s="588">
        <v>487.2</v>
      </c>
      <c r="I132" s="587" t="s">
        <v>549</v>
      </c>
      <c r="J132" s="585">
        <v>1</v>
      </c>
      <c r="K132" s="585" t="s">
        <v>632</v>
      </c>
      <c r="L132" s="678">
        <v>348</v>
      </c>
      <c r="M132" s="649" t="s">
        <v>2533</v>
      </c>
      <c r="N132" s="679">
        <v>67.071199999999919</v>
      </c>
      <c r="O132" s="679">
        <v>134.15400000000011</v>
      </c>
      <c r="P132" s="589" t="s">
        <v>2534</v>
      </c>
      <c r="Q132" s="680">
        <v>336.67839999999967</v>
      </c>
      <c r="R132" s="696"/>
      <c r="S132" s="553"/>
      <c r="T132" s="553"/>
      <c r="U132" s="553"/>
      <c r="V132" s="553"/>
      <c r="W132" s="553"/>
      <c r="X132" s="553"/>
      <c r="Y132" s="553"/>
      <c r="Z132" s="553"/>
      <c r="AA132" s="553"/>
      <c r="AB132" s="554"/>
      <c r="AC132" s="555"/>
      <c r="AD132" s="556"/>
      <c r="AE132" s="556"/>
      <c r="AF132" s="556"/>
      <c r="AG132" s="556"/>
    </row>
    <row r="133" spans="1:33">
      <c r="A133" s="585">
        <v>119</v>
      </c>
      <c r="B133" s="587" t="s">
        <v>2608</v>
      </c>
      <c r="C133" s="585">
        <v>119</v>
      </c>
      <c r="D133" s="629" t="s">
        <v>2287</v>
      </c>
      <c r="E133" s="586" t="s">
        <v>2404</v>
      </c>
      <c r="F133" s="675">
        <v>5.4815199999999994E-2</v>
      </c>
      <c r="G133" s="676">
        <v>2538.48</v>
      </c>
      <c r="H133" s="588">
        <v>487.2</v>
      </c>
      <c r="I133" s="587" t="s">
        <v>549</v>
      </c>
      <c r="J133" s="585">
        <v>1</v>
      </c>
      <c r="K133" s="585" t="s">
        <v>633</v>
      </c>
      <c r="L133" s="678">
        <v>348</v>
      </c>
      <c r="M133" s="649" t="s">
        <v>2533</v>
      </c>
      <c r="N133" s="679">
        <v>67.071199999999919</v>
      </c>
      <c r="O133" s="679">
        <v>134.15400000000011</v>
      </c>
      <c r="P133" s="589" t="s">
        <v>2534</v>
      </c>
      <c r="Q133" s="680">
        <v>336.67839999999967</v>
      </c>
      <c r="R133" s="696"/>
      <c r="S133" s="553"/>
      <c r="T133" s="553"/>
      <c r="U133" s="553"/>
      <c r="V133" s="553"/>
      <c r="W133" s="553"/>
      <c r="X133" s="553"/>
      <c r="Y133" s="553"/>
      <c r="Z133" s="553"/>
      <c r="AA133" s="553"/>
      <c r="AB133" s="554"/>
      <c r="AC133" s="555"/>
      <c r="AD133" s="556"/>
      <c r="AE133" s="556"/>
      <c r="AF133" s="556"/>
      <c r="AG133" s="556"/>
    </row>
    <row r="134" spans="1:33">
      <c r="A134" s="585">
        <v>120</v>
      </c>
      <c r="B134" s="587" t="s">
        <v>2609</v>
      </c>
      <c r="C134" s="585">
        <v>120</v>
      </c>
      <c r="D134" s="629" t="s">
        <v>2287</v>
      </c>
      <c r="E134" s="586" t="s">
        <v>2405</v>
      </c>
      <c r="F134" s="675">
        <v>4.5277399999999995E-2</v>
      </c>
      <c r="G134" s="676">
        <v>2538.48</v>
      </c>
      <c r="H134" s="588">
        <v>487.2</v>
      </c>
      <c r="I134" s="587" t="s">
        <v>549</v>
      </c>
      <c r="J134" s="585">
        <v>1</v>
      </c>
      <c r="K134" s="585" t="s">
        <v>634</v>
      </c>
      <c r="L134" s="678">
        <v>348</v>
      </c>
      <c r="M134" s="649" t="s">
        <v>2533</v>
      </c>
      <c r="N134" s="679">
        <v>67.071199999999919</v>
      </c>
      <c r="O134" s="679">
        <v>134.15400000000011</v>
      </c>
      <c r="P134" s="589" t="s">
        <v>2534</v>
      </c>
      <c r="Q134" s="680">
        <v>336.67839999999967</v>
      </c>
      <c r="R134" s="696"/>
      <c r="S134" s="553"/>
      <c r="T134" s="553"/>
      <c r="U134" s="553"/>
      <c r="V134" s="553"/>
      <c r="W134" s="553"/>
      <c r="X134" s="553"/>
      <c r="Y134" s="553"/>
      <c r="Z134" s="553"/>
      <c r="AA134" s="553"/>
      <c r="AB134" s="554"/>
      <c r="AC134" s="555"/>
      <c r="AD134" s="556"/>
      <c r="AE134" s="556"/>
      <c r="AF134" s="556"/>
      <c r="AG134" s="556"/>
    </row>
    <row r="135" spans="1:33">
      <c r="A135" s="585">
        <v>121</v>
      </c>
      <c r="B135" s="587" t="s">
        <v>2610</v>
      </c>
      <c r="C135" s="585">
        <v>121</v>
      </c>
      <c r="D135" s="629" t="s">
        <v>2287</v>
      </c>
      <c r="E135" s="586" t="s">
        <v>2406</v>
      </c>
      <c r="F135" s="675">
        <v>4.9218000000000005E-2</v>
      </c>
      <c r="G135" s="676">
        <v>2538.48</v>
      </c>
      <c r="H135" s="588">
        <v>487.2</v>
      </c>
      <c r="I135" s="587" t="s">
        <v>549</v>
      </c>
      <c r="J135" s="585">
        <v>1</v>
      </c>
      <c r="K135" s="585" t="s">
        <v>635</v>
      </c>
      <c r="L135" s="678">
        <v>348</v>
      </c>
      <c r="M135" s="649" t="s">
        <v>2533</v>
      </c>
      <c r="N135" s="679">
        <v>67.071199999999919</v>
      </c>
      <c r="O135" s="679">
        <v>134.15400000000011</v>
      </c>
      <c r="P135" s="589" t="s">
        <v>2534</v>
      </c>
      <c r="Q135" s="680">
        <v>336.67839999999967</v>
      </c>
      <c r="R135" s="696"/>
      <c r="S135" s="553"/>
      <c r="T135" s="553"/>
      <c r="U135" s="553"/>
      <c r="V135" s="553"/>
      <c r="W135" s="553"/>
      <c r="X135" s="553"/>
      <c r="Y135" s="553"/>
      <c r="Z135" s="553"/>
      <c r="AA135" s="553"/>
      <c r="AB135" s="554"/>
      <c r="AC135" s="555"/>
      <c r="AD135" s="556"/>
      <c r="AE135" s="556"/>
      <c r="AF135" s="556"/>
      <c r="AG135" s="556"/>
    </row>
    <row r="136" spans="1:33">
      <c r="A136" s="585">
        <v>122</v>
      </c>
      <c r="B136" s="587" t="s">
        <v>2611</v>
      </c>
      <c r="C136" s="585">
        <v>122</v>
      </c>
      <c r="D136" s="629" t="s">
        <v>2287</v>
      </c>
      <c r="E136" s="586" t="s">
        <v>2407</v>
      </c>
      <c r="F136" s="675">
        <v>4.9589800000000003E-2</v>
      </c>
      <c r="G136" s="676">
        <v>2538.48</v>
      </c>
      <c r="H136" s="588">
        <v>487.2</v>
      </c>
      <c r="I136" s="587" t="s">
        <v>549</v>
      </c>
      <c r="J136" s="585">
        <v>1</v>
      </c>
      <c r="K136" s="585" t="s">
        <v>636</v>
      </c>
      <c r="L136" s="678">
        <v>348</v>
      </c>
      <c r="M136" s="649" t="s">
        <v>2533</v>
      </c>
      <c r="N136" s="679">
        <v>67.071199999999919</v>
      </c>
      <c r="O136" s="679">
        <v>134.15400000000011</v>
      </c>
      <c r="P136" s="589" t="s">
        <v>2534</v>
      </c>
      <c r="Q136" s="680">
        <v>336.67839999999967</v>
      </c>
      <c r="R136" s="696"/>
      <c r="S136" s="553"/>
      <c r="T136" s="553"/>
      <c r="U136" s="553"/>
      <c r="V136" s="553"/>
      <c r="W136" s="553"/>
      <c r="X136" s="553"/>
      <c r="Y136" s="553"/>
      <c r="Z136" s="553"/>
      <c r="AA136" s="553"/>
      <c r="AB136" s="554"/>
      <c r="AC136" s="555"/>
      <c r="AD136" s="556"/>
      <c r="AE136" s="556"/>
      <c r="AF136" s="556"/>
      <c r="AG136" s="556"/>
    </row>
    <row r="137" spans="1:33">
      <c r="A137" s="585">
        <v>123</v>
      </c>
      <c r="B137" s="587" t="s">
        <v>2612</v>
      </c>
      <c r="C137" s="585">
        <v>123</v>
      </c>
      <c r="D137" s="629" t="s">
        <v>2287</v>
      </c>
      <c r="E137" s="586" t="s">
        <v>2408</v>
      </c>
      <c r="F137" s="675">
        <v>4.9589800000000003E-2</v>
      </c>
      <c r="G137" s="676">
        <v>2538.48</v>
      </c>
      <c r="H137" s="588">
        <v>487.2</v>
      </c>
      <c r="I137" s="587" t="s">
        <v>549</v>
      </c>
      <c r="J137" s="585">
        <v>1</v>
      </c>
      <c r="K137" s="585" t="s">
        <v>637</v>
      </c>
      <c r="L137" s="678">
        <v>348</v>
      </c>
      <c r="M137" s="649" t="s">
        <v>2533</v>
      </c>
      <c r="N137" s="679">
        <v>67.071199999999919</v>
      </c>
      <c r="O137" s="679">
        <v>134.15400000000011</v>
      </c>
      <c r="P137" s="589" t="s">
        <v>2534</v>
      </c>
      <c r="Q137" s="680">
        <v>336.67839999999967</v>
      </c>
      <c r="R137" s="696"/>
      <c r="S137" s="553"/>
      <c r="T137" s="553"/>
      <c r="U137" s="553"/>
      <c r="V137" s="553"/>
      <c r="W137" s="553"/>
      <c r="X137" s="553"/>
      <c r="Y137" s="553"/>
      <c r="Z137" s="553"/>
      <c r="AA137" s="553"/>
      <c r="AB137" s="554"/>
      <c r="AC137" s="555"/>
      <c r="AD137" s="556"/>
      <c r="AE137" s="556"/>
      <c r="AF137" s="556"/>
      <c r="AG137" s="556"/>
    </row>
    <row r="138" spans="1:33" s="426" customFormat="1">
      <c r="A138" s="585">
        <v>124</v>
      </c>
      <c r="B138" s="587" t="s">
        <v>2613</v>
      </c>
      <c r="C138" s="585">
        <v>124</v>
      </c>
      <c r="D138" s="629" t="s">
        <v>2287</v>
      </c>
      <c r="E138" s="586" t="s">
        <v>2409</v>
      </c>
      <c r="F138" s="675">
        <v>6.2130299999999999E-2</v>
      </c>
      <c r="G138" s="676">
        <v>3463.0023344000001</v>
      </c>
      <c r="H138" s="588">
        <v>487.2</v>
      </c>
      <c r="I138" s="587" t="s">
        <v>601</v>
      </c>
      <c r="J138" s="585">
        <v>2</v>
      </c>
      <c r="K138" s="585" t="s">
        <v>638</v>
      </c>
      <c r="L138" s="678">
        <v>348</v>
      </c>
      <c r="M138" s="649" t="s">
        <v>2533</v>
      </c>
      <c r="N138" s="679">
        <v>121.62599999999989</v>
      </c>
      <c r="O138" s="679">
        <v>243.24040000000008</v>
      </c>
      <c r="P138" s="589" t="s">
        <v>2534</v>
      </c>
      <c r="Q138" s="680">
        <v>336.67839999999967</v>
      </c>
      <c r="R138" s="696"/>
      <c r="S138" s="553"/>
      <c r="T138" s="553"/>
      <c r="U138" s="553"/>
      <c r="V138" s="553"/>
      <c r="W138" s="553"/>
      <c r="X138" s="553"/>
      <c r="Y138" s="553"/>
      <c r="Z138" s="553"/>
      <c r="AA138" s="553"/>
      <c r="AB138" s="554"/>
      <c r="AC138" s="555"/>
      <c r="AD138" s="556"/>
      <c r="AE138" s="556"/>
      <c r="AF138" s="556"/>
      <c r="AG138" s="556"/>
    </row>
    <row r="139" spans="1:33">
      <c r="A139" s="585">
        <v>125</v>
      </c>
      <c r="B139" s="587" t="s">
        <v>2614</v>
      </c>
      <c r="C139" s="585">
        <v>125</v>
      </c>
      <c r="D139" s="629" t="s">
        <v>2287</v>
      </c>
      <c r="E139" s="586" t="s">
        <v>2410</v>
      </c>
      <c r="F139" s="675">
        <v>6.2130299999999999E-2</v>
      </c>
      <c r="G139" s="676">
        <v>3463.0023344000001</v>
      </c>
      <c r="H139" s="588">
        <v>487.2</v>
      </c>
      <c r="I139" s="587" t="s">
        <v>601</v>
      </c>
      <c r="J139" s="585">
        <v>2</v>
      </c>
      <c r="K139" s="585" t="s">
        <v>639</v>
      </c>
      <c r="L139" s="678">
        <v>348</v>
      </c>
      <c r="M139" s="649" t="s">
        <v>2533</v>
      </c>
      <c r="N139" s="679">
        <v>121.62599999999989</v>
      </c>
      <c r="O139" s="679">
        <v>243.24040000000008</v>
      </c>
      <c r="P139" s="589" t="s">
        <v>2534</v>
      </c>
      <c r="Q139" s="680">
        <v>336.67839999999967</v>
      </c>
      <c r="R139" s="696"/>
      <c r="S139" s="553"/>
      <c r="T139" s="553"/>
      <c r="U139" s="553"/>
      <c r="V139" s="553"/>
      <c r="W139" s="553"/>
      <c r="X139" s="553"/>
      <c r="Y139" s="553"/>
      <c r="Z139" s="553"/>
      <c r="AA139" s="553"/>
      <c r="AB139" s="554"/>
      <c r="AC139" s="555"/>
      <c r="AD139" s="556"/>
      <c r="AE139" s="556"/>
      <c r="AF139" s="556"/>
      <c r="AG139" s="556"/>
    </row>
    <row r="140" spans="1:33">
      <c r="A140" s="585">
        <v>126</v>
      </c>
      <c r="B140" s="587" t="s">
        <v>2615</v>
      </c>
      <c r="C140" s="585">
        <v>126</v>
      </c>
      <c r="D140" s="629" t="s">
        <v>2287</v>
      </c>
      <c r="E140" s="586" t="s">
        <v>2411</v>
      </c>
      <c r="F140" s="675">
        <v>6.2130299999999999E-2</v>
      </c>
      <c r="G140" s="676">
        <v>3463.0023344000001</v>
      </c>
      <c r="H140" s="588">
        <v>487.2</v>
      </c>
      <c r="I140" s="587" t="s">
        <v>601</v>
      </c>
      <c r="J140" s="585">
        <v>2</v>
      </c>
      <c r="K140" s="585" t="s">
        <v>640</v>
      </c>
      <c r="L140" s="678">
        <v>348</v>
      </c>
      <c r="M140" s="649" t="s">
        <v>2533</v>
      </c>
      <c r="N140" s="679">
        <v>121.62599999999989</v>
      </c>
      <c r="O140" s="679">
        <v>243.24040000000008</v>
      </c>
      <c r="P140" s="589" t="s">
        <v>2534</v>
      </c>
      <c r="Q140" s="680">
        <v>336.67839999999967</v>
      </c>
      <c r="R140" s="696"/>
      <c r="S140" s="553"/>
      <c r="T140" s="553"/>
      <c r="U140" s="553"/>
      <c r="V140" s="553"/>
      <c r="W140" s="553"/>
      <c r="X140" s="553"/>
      <c r="Y140" s="553"/>
      <c r="Z140" s="553"/>
      <c r="AA140" s="553"/>
      <c r="AB140" s="554"/>
      <c r="AC140" s="555"/>
      <c r="AD140" s="556"/>
      <c r="AE140" s="556"/>
      <c r="AF140" s="556"/>
      <c r="AG140" s="556"/>
    </row>
    <row r="141" spans="1:33">
      <c r="A141" s="585">
        <v>127</v>
      </c>
      <c r="B141" s="587" t="s">
        <v>2616</v>
      </c>
      <c r="C141" s="585">
        <v>127</v>
      </c>
      <c r="D141" s="629" t="s">
        <v>2287</v>
      </c>
      <c r="E141" s="586" t="s">
        <v>2412</v>
      </c>
      <c r="F141" s="675">
        <v>6.2130299999999999E-2</v>
      </c>
      <c r="G141" s="676">
        <v>3463.0023344000001</v>
      </c>
      <c r="H141" s="588">
        <v>487.2</v>
      </c>
      <c r="I141" s="587" t="s">
        <v>601</v>
      </c>
      <c r="J141" s="585">
        <v>2</v>
      </c>
      <c r="K141" s="585" t="s">
        <v>641</v>
      </c>
      <c r="L141" s="678">
        <v>348</v>
      </c>
      <c r="M141" s="649" t="s">
        <v>2533</v>
      </c>
      <c r="N141" s="679">
        <v>121.62599999999989</v>
      </c>
      <c r="O141" s="679">
        <v>243.24040000000008</v>
      </c>
      <c r="P141" s="589" t="s">
        <v>2534</v>
      </c>
      <c r="Q141" s="680">
        <v>336.67839999999967</v>
      </c>
      <c r="R141" s="696"/>
      <c r="S141" s="553"/>
      <c r="T141" s="553"/>
      <c r="U141" s="553"/>
      <c r="V141" s="553"/>
      <c r="W141" s="553"/>
      <c r="X141" s="553"/>
      <c r="Y141" s="553"/>
      <c r="Z141" s="553"/>
      <c r="AA141" s="553"/>
      <c r="AB141" s="554"/>
      <c r="AC141" s="555"/>
      <c r="AD141" s="556"/>
      <c r="AE141" s="556"/>
      <c r="AF141" s="556"/>
      <c r="AG141" s="556"/>
    </row>
    <row r="142" spans="1:33">
      <c r="A142" s="585">
        <v>128</v>
      </c>
      <c r="B142" s="587" t="s">
        <v>2617</v>
      </c>
      <c r="C142" s="585">
        <v>128</v>
      </c>
      <c r="D142" s="629" t="s">
        <v>2287</v>
      </c>
      <c r="E142" s="586" t="s">
        <v>2413</v>
      </c>
      <c r="F142" s="675">
        <v>4.1638000000000001E-2</v>
      </c>
      <c r="G142" s="676">
        <v>3463.0023344000001</v>
      </c>
      <c r="H142" s="588">
        <v>487.2</v>
      </c>
      <c r="I142" s="587" t="s">
        <v>601</v>
      </c>
      <c r="J142" s="585">
        <v>2</v>
      </c>
      <c r="K142" s="585" t="s">
        <v>642</v>
      </c>
      <c r="L142" s="678">
        <v>348</v>
      </c>
      <c r="M142" s="649" t="s">
        <v>2533</v>
      </c>
      <c r="N142" s="679">
        <v>121.62599999999989</v>
      </c>
      <c r="O142" s="679">
        <v>243.24040000000008</v>
      </c>
      <c r="P142" s="589" t="s">
        <v>2534</v>
      </c>
      <c r="Q142" s="680">
        <v>336.67839999999967</v>
      </c>
      <c r="R142" s="696"/>
      <c r="S142" s="553"/>
      <c r="T142" s="553"/>
      <c r="U142" s="553"/>
      <c r="V142" s="553"/>
      <c r="W142" s="553"/>
      <c r="X142" s="553"/>
      <c r="Y142" s="553"/>
      <c r="Z142" s="553"/>
      <c r="AA142" s="553"/>
      <c r="AB142" s="554"/>
      <c r="AC142" s="555"/>
      <c r="AD142" s="556"/>
      <c r="AE142" s="556"/>
      <c r="AF142" s="556"/>
      <c r="AG142" s="556"/>
    </row>
    <row r="143" spans="1:33">
      <c r="A143" s="585">
        <v>129</v>
      </c>
      <c r="B143" s="587" t="s">
        <v>2618</v>
      </c>
      <c r="C143" s="585">
        <v>129</v>
      </c>
      <c r="D143" s="629" t="s">
        <v>2287</v>
      </c>
      <c r="E143" s="586" t="s">
        <v>2414</v>
      </c>
      <c r="F143" s="675">
        <v>4.1638000000000001E-2</v>
      </c>
      <c r="G143" s="676">
        <v>3463.0023344000001</v>
      </c>
      <c r="H143" s="588">
        <v>487.2</v>
      </c>
      <c r="I143" s="587" t="s">
        <v>601</v>
      </c>
      <c r="J143" s="585">
        <v>2</v>
      </c>
      <c r="K143" s="585" t="s">
        <v>643</v>
      </c>
      <c r="L143" s="678">
        <v>348</v>
      </c>
      <c r="M143" s="649" t="s">
        <v>2533</v>
      </c>
      <c r="N143" s="679">
        <v>121.62599999999989</v>
      </c>
      <c r="O143" s="679">
        <v>243.24040000000008</v>
      </c>
      <c r="P143" s="589" t="s">
        <v>2534</v>
      </c>
      <c r="Q143" s="680">
        <v>336.67839999999967</v>
      </c>
      <c r="R143" s="696"/>
      <c r="S143" s="553"/>
      <c r="T143" s="553"/>
      <c r="U143" s="553"/>
      <c r="V143" s="553"/>
      <c r="W143" s="553"/>
      <c r="X143" s="553"/>
      <c r="Y143" s="553"/>
      <c r="Z143" s="553"/>
      <c r="AA143" s="553"/>
      <c r="AB143" s="554"/>
      <c r="AC143" s="555"/>
      <c r="AD143" s="556"/>
      <c r="AE143" s="556"/>
      <c r="AF143" s="556"/>
      <c r="AG143" s="556"/>
    </row>
    <row r="144" spans="1:33" s="426" customFormat="1">
      <c r="A144" s="585">
        <v>130</v>
      </c>
      <c r="B144" s="587" t="s">
        <v>2619</v>
      </c>
      <c r="C144" s="585">
        <v>130</v>
      </c>
      <c r="D144" s="629" t="s">
        <v>2287</v>
      </c>
      <c r="E144" s="586" t="s">
        <v>2415</v>
      </c>
      <c r="F144" s="675">
        <v>6.2130299999999999E-2</v>
      </c>
      <c r="G144" s="676">
        <v>3463.0023344000001</v>
      </c>
      <c r="H144" s="588">
        <v>487.2</v>
      </c>
      <c r="I144" s="587" t="s">
        <v>601</v>
      </c>
      <c r="J144" s="585">
        <v>2</v>
      </c>
      <c r="K144" s="585" t="s">
        <v>644</v>
      </c>
      <c r="L144" s="678">
        <v>348</v>
      </c>
      <c r="M144" s="649" t="s">
        <v>2533</v>
      </c>
      <c r="N144" s="679">
        <v>121.62599999999989</v>
      </c>
      <c r="O144" s="679">
        <v>243.24040000000008</v>
      </c>
      <c r="P144" s="589" t="s">
        <v>2534</v>
      </c>
      <c r="Q144" s="680">
        <v>336.67839999999967</v>
      </c>
      <c r="R144" s="696"/>
      <c r="S144" s="553"/>
      <c r="T144" s="553"/>
      <c r="U144" s="553"/>
      <c r="V144" s="553"/>
      <c r="W144" s="553"/>
      <c r="X144" s="553"/>
      <c r="Y144" s="553"/>
      <c r="Z144" s="553"/>
      <c r="AA144" s="553"/>
      <c r="AB144" s="554"/>
      <c r="AC144" s="555"/>
      <c r="AD144" s="556"/>
      <c r="AE144" s="556"/>
      <c r="AF144" s="556"/>
      <c r="AG144" s="556"/>
    </row>
    <row r="145" spans="1:33" s="426" customFormat="1">
      <c r="A145" s="585">
        <v>131</v>
      </c>
      <c r="B145" s="587" t="s">
        <v>2620</v>
      </c>
      <c r="C145" s="585">
        <v>131</v>
      </c>
      <c r="D145" s="629" t="s">
        <v>2287</v>
      </c>
      <c r="E145" s="586" t="s">
        <v>2416</v>
      </c>
      <c r="F145" s="675">
        <v>6.2130299999999999E-2</v>
      </c>
      <c r="G145" s="676">
        <v>3463.0023344000001</v>
      </c>
      <c r="H145" s="588">
        <v>487.2</v>
      </c>
      <c r="I145" s="587" t="s">
        <v>601</v>
      </c>
      <c r="J145" s="585">
        <v>2</v>
      </c>
      <c r="K145" s="585" t="s">
        <v>645</v>
      </c>
      <c r="L145" s="678">
        <v>348</v>
      </c>
      <c r="M145" s="649" t="s">
        <v>2533</v>
      </c>
      <c r="N145" s="679">
        <v>121.62599999999989</v>
      </c>
      <c r="O145" s="679">
        <v>243.24040000000008</v>
      </c>
      <c r="P145" s="589" t="s">
        <v>2534</v>
      </c>
      <c r="Q145" s="680">
        <v>336.67839999999967</v>
      </c>
      <c r="R145" s="696"/>
      <c r="S145" s="553"/>
      <c r="T145" s="553"/>
      <c r="U145" s="553"/>
      <c r="V145" s="553"/>
      <c r="W145" s="553"/>
      <c r="X145" s="553"/>
      <c r="Y145" s="553"/>
      <c r="Z145" s="553"/>
      <c r="AA145" s="553"/>
      <c r="AB145" s="554"/>
      <c r="AC145" s="555"/>
      <c r="AD145" s="556"/>
      <c r="AE145" s="556"/>
      <c r="AF145" s="556"/>
      <c r="AG145" s="556"/>
    </row>
    <row r="146" spans="1:33">
      <c r="A146" s="585">
        <v>132</v>
      </c>
      <c r="B146" s="587" t="s">
        <v>2621</v>
      </c>
      <c r="C146" s="585">
        <v>132</v>
      </c>
      <c r="D146" s="629" t="s">
        <v>2287</v>
      </c>
      <c r="E146" s="586" t="s">
        <v>2417</v>
      </c>
      <c r="F146" s="675">
        <v>5.5006300000000001E-2</v>
      </c>
      <c r="G146" s="676">
        <v>2538.48</v>
      </c>
      <c r="H146" s="588">
        <v>487.2</v>
      </c>
      <c r="I146" s="587" t="s">
        <v>549</v>
      </c>
      <c r="J146" s="585">
        <v>1</v>
      </c>
      <c r="K146" s="585" t="s">
        <v>646</v>
      </c>
      <c r="L146" s="678">
        <v>348</v>
      </c>
      <c r="M146" s="649" t="s">
        <v>2533</v>
      </c>
      <c r="N146" s="679">
        <v>67.071199999999919</v>
      </c>
      <c r="O146" s="679">
        <v>134.15400000000011</v>
      </c>
      <c r="P146" s="589" t="s">
        <v>2534</v>
      </c>
      <c r="Q146" s="680">
        <v>336.67839999999967</v>
      </c>
      <c r="R146" s="696"/>
      <c r="S146" s="553"/>
      <c r="T146" s="553"/>
      <c r="U146" s="553"/>
      <c r="V146" s="553"/>
      <c r="W146" s="553"/>
      <c r="X146" s="553"/>
      <c r="Y146" s="553"/>
      <c r="Z146" s="553"/>
      <c r="AA146" s="553"/>
      <c r="AB146" s="554"/>
      <c r="AC146" s="555"/>
      <c r="AD146" s="556"/>
      <c r="AE146" s="556"/>
      <c r="AF146" s="556"/>
      <c r="AG146" s="556"/>
    </row>
    <row r="147" spans="1:33">
      <c r="A147" s="585">
        <v>133</v>
      </c>
      <c r="B147" s="587" t="s">
        <v>2622</v>
      </c>
      <c r="C147" s="585">
        <v>133</v>
      </c>
      <c r="D147" s="629" t="s">
        <v>2287</v>
      </c>
      <c r="E147" s="586" t="s">
        <v>2418</v>
      </c>
      <c r="F147" s="675">
        <v>5.5006300000000001E-2</v>
      </c>
      <c r="G147" s="676">
        <v>2538.48</v>
      </c>
      <c r="H147" s="588">
        <v>487.2</v>
      </c>
      <c r="I147" s="587" t="s">
        <v>549</v>
      </c>
      <c r="J147" s="585">
        <v>1</v>
      </c>
      <c r="K147" s="585" t="s">
        <v>647</v>
      </c>
      <c r="L147" s="678">
        <v>348</v>
      </c>
      <c r="M147" s="649" t="s">
        <v>2533</v>
      </c>
      <c r="N147" s="679">
        <v>67.071199999999919</v>
      </c>
      <c r="O147" s="679">
        <v>134.15400000000011</v>
      </c>
      <c r="P147" s="589" t="s">
        <v>2534</v>
      </c>
      <c r="Q147" s="680">
        <v>336.67839999999967</v>
      </c>
      <c r="R147" s="696"/>
      <c r="S147" s="553"/>
      <c r="T147" s="553"/>
      <c r="U147" s="553"/>
      <c r="V147" s="553"/>
      <c r="W147" s="553"/>
      <c r="X147" s="553"/>
      <c r="Y147" s="553"/>
      <c r="Z147" s="553"/>
      <c r="AA147" s="553"/>
      <c r="AB147" s="554"/>
      <c r="AC147" s="555"/>
      <c r="AD147" s="556"/>
      <c r="AE147" s="556"/>
      <c r="AF147" s="556"/>
      <c r="AG147" s="556"/>
    </row>
    <row r="148" spans="1:33">
      <c r="A148" s="585">
        <v>134</v>
      </c>
      <c r="B148" s="587" t="s">
        <v>3383</v>
      </c>
      <c r="C148" s="585">
        <v>134</v>
      </c>
      <c r="D148" s="629" t="s">
        <v>2287</v>
      </c>
      <c r="E148" s="586" t="s">
        <v>3411</v>
      </c>
      <c r="F148" s="675">
        <v>4.2173499999999996E-2</v>
      </c>
      <c r="G148" s="676">
        <v>3463.0023344000001</v>
      </c>
      <c r="H148" s="588">
        <v>487.2</v>
      </c>
      <c r="I148" s="587" t="s">
        <v>601</v>
      </c>
      <c r="J148" s="585">
        <v>2</v>
      </c>
      <c r="K148" s="585" t="s">
        <v>3437</v>
      </c>
      <c r="L148" s="678">
        <v>348</v>
      </c>
      <c r="M148" s="649" t="s">
        <v>2533</v>
      </c>
      <c r="N148" s="679">
        <v>121.62599999999989</v>
      </c>
      <c r="O148" s="679">
        <v>243.24040000000008</v>
      </c>
      <c r="P148" s="589" t="s">
        <v>2534</v>
      </c>
      <c r="Q148" s="680">
        <v>336.67839999999967</v>
      </c>
      <c r="R148" s="696"/>
      <c r="S148" s="553"/>
      <c r="T148" s="553"/>
      <c r="U148" s="553"/>
      <c r="V148" s="553"/>
      <c r="W148" s="553"/>
      <c r="X148" s="553"/>
      <c r="Y148" s="553"/>
      <c r="Z148" s="553"/>
      <c r="AA148" s="553"/>
      <c r="AB148" s="554"/>
      <c r="AC148" s="555"/>
      <c r="AD148" s="556"/>
      <c r="AE148" s="556"/>
      <c r="AF148" s="556"/>
      <c r="AG148" s="556"/>
    </row>
    <row r="149" spans="1:33">
      <c r="A149" s="585">
        <v>135</v>
      </c>
      <c r="B149" s="587" t="s">
        <v>3384</v>
      </c>
      <c r="C149" s="585">
        <v>135</v>
      </c>
      <c r="D149" s="629" t="s">
        <v>2287</v>
      </c>
      <c r="E149" s="586" t="s">
        <v>3412</v>
      </c>
      <c r="F149" s="675">
        <v>4.1797399999999998E-2</v>
      </c>
      <c r="G149" s="676">
        <v>3463.0023344000001</v>
      </c>
      <c r="H149" s="588">
        <v>487.2</v>
      </c>
      <c r="I149" s="587" t="s">
        <v>601</v>
      </c>
      <c r="J149" s="585">
        <v>2</v>
      </c>
      <c r="K149" s="585" t="s">
        <v>3438</v>
      </c>
      <c r="L149" s="678">
        <v>348</v>
      </c>
      <c r="M149" s="649" t="s">
        <v>2533</v>
      </c>
      <c r="N149" s="679">
        <v>121.62599999999989</v>
      </c>
      <c r="O149" s="679">
        <v>243.24040000000008</v>
      </c>
      <c r="P149" s="589" t="s">
        <v>2534</v>
      </c>
      <c r="Q149" s="680">
        <v>336.67839999999967</v>
      </c>
      <c r="R149" s="696"/>
      <c r="S149" s="553"/>
      <c r="T149" s="553"/>
      <c r="U149" s="553"/>
      <c r="V149" s="553"/>
      <c r="W149" s="553"/>
      <c r="X149" s="553"/>
      <c r="Y149" s="553"/>
      <c r="Z149" s="553"/>
      <c r="AA149" s="553"/>
      <c r="AB149" s="554"/>
      <c r="AC149" s="555"/>
      <c r="AD149" s="556"/>
      <c r="AE149" s="556"/>
      <c r="AF149" s="556"/>
      <c r="AG149" s="556"/>
    </row>
    <row r="150" spans="1:33">
      <c r="A150" s="585">
        <v>136</v>
      </c>
      <c r="B150" s="587" t="s">
        <v>3385</v>
      </c>
      <c r="C150" s="585">
        <v>136</v>
      </c>
      <c r="D150" s="629" t="s">
        <v>2287</v>
      </c>
      <c r="E150" s="586" t="s">
        <v>3413</v>
      </c>
      <c r="F150" s="675">
        <v>4.1797399999999998E-2</v>
      </c>
      <c r="G150" s="676">
        <v>3463.0023344000001</v>
      </c>
      <c r="H150" s="588">
        <v>487.2</v>
      </c>
      <c r="I150" s="587" t="s">
        <v>601</v>
      </c>
      <c r="J150" s="585">
        <v>2</v>
      </c>
      <c r="K150" s="585" t="s">
        <v>3439</v>
      </c>
      <c r="L150" s="678">
        <v>348</v>
      </c>
      <c r="M150" s="649" t="s">
        <v>2533</v>
      </c>
      <c r="N150" s="679">
        <v>121.62599999999989</v>
      </c>
      <c r="O150" s="679">
        <v>243.24040000000008</v>
      </c>
      <c r="P150" s="589" t="s">
        <v>2534</v>
      </c>
      <c r="Q150" s="680">
        <v>336.67839999999967</v>
      </c>
      <c r="R150" s="696"/>
      <c r="S150" s="553"/>
      <c r="T150" s="553"/>
      <c r="U150" s="553"/>
      <c r="V150" s="553"/>
      <c r="W150" s="553"/>
      <c r="X150" s="553"/>
      <c r="Y150" s="553"/>
      <c r="Z150" s="553"/>
      <c r="AA150" s="553"/>
      <c r="AB150" s="554"/>
      <c r="AC150" s="555"/>
      <c r="AD150" s="556"/>
      <c r="AE150" s="556"/>
      <c r="AF150" s="556"/>
      <c r="AG150" s="556"/>
    </row>
    <row r="151" spans="1:33">
      <c r="A151" s="585">
        <v>137</v>
      </c>
      <c r="B151" s="587" t="s">
        <v>4546</v>
      </c>
      <c r="C151" s="585">
        <v>137</v>
      </c>
      <c r="D151" s="629" t="s">
        <v>2287</v>
      </c>
      <c r="E151" s="586" t="s">
        <v>4557</v>
      </c>
      <c r="F151" s="675">
        <v>4.1638000000000001E-2</v>
      </c>
      <c r="G151" s="676">
        <v>3463.0023344000001</v>
      </c>
      <c r="H151" s="588">
        <v>487.2</v>
      </c>
      <c r="I151" s="587" t="s">
        <v>601</v>
      </c>
      <c r="J151" s="585">
        <v>2</v>
      </c>
      <c r="K151" s="585" t="s">
        <v>643</v>
      </c>
      <c r="L151" s="678">
        <v>348</v>
      </c>
      <c r="M151" s="649" t="s">
        <v>2533</v>
      </c>
      <c r="N151" s="679">
        <v>121.62599999999989</v>
      </c>
      <c r="O151" s="679">
        <v>243.24040000000008</v>
      </c>
      <c r="P151" s="589" t="s">
        <v>2534</v>
      </c>
      <c r="Q151" s="680">
        <v>336.67839999999967</v>
      </c>
      <c r="R151" s="696"/>
      <c r="S151" s="553"/>
      <c r="T151" s="553"/>
      <c r="U151" s="553"/>
      <c r="V151" s="553"/>
      <c r="W151" s="553"/>
      <c r="X151" s="553"/>
      <c r="Y151" s="553"/>
      <c r="Z151" s="553"/>
      <c r="AA151" s="553"/>
      <c r="AB151" s="554"/>
      <c r="AC151" s="555"/>
      <c r="AD151" s="556"/>
      <c r="AE151" s="556"/>
      <c r="AF151" s="556"/>
      <c r="AG151" s="556"/>
    </row>
    <row r="152" spans="1:33">
      <c r="A152" s="585">
        <v>138</v>
      </c>
      <c r="B152" s="587" t="s">
        <v>3528</v>
      </c>
      <c r="C152" s="585">
        <v>138</v>
      </c>
      <c r="D152" s="629" t="s">
        <v>2287</v>
      </c>
      <c r="E152" s="586" t="s">
        <v>3702</v>
      </c>
      <c r="F152" s="675">
        <v>3.1363000000000002E-2</v>
      </c>
      <c r="G152" s="676">
        <v>7453.37</v>
      </c>
      <c r="H152" s="588">
        <v>487.2</v>
      </c>
      <c r="I152" s="587" t="s">
        <v>3793</v>
      </c>
      <c r="J152" s="585">
        <v>3</v>
      </c>
      <c r="K152" s="585" t="s">
        <v>3614</v>
      </c>
      <c r="L152" s="678">
        <v>0</v>
      </c>
      <c r="M152" s="649" t="s">
        <v>2533</v>
      </c>
      <c r="N152" s="679">
        <v>298.14</v>
      </c>
      <c r="O152" s="679">
        <v>596.29</v>
      </c>
      <c r="P152" s="589" t="s">
        <v>2534</v>
      </c>
      <c r="Q152" s="680">
        <v>0</v>
      </c>
      <c r="R152" s="696"/>
      <c r="S152" s="553"/>
      <c r="T152" s="553"/>
      <c r="U152" s="553"/>
      <c r="V152" s="553"/>
      <c r="W152" s="553"/>
      <c r="X152" s="553"/>
      <c r="Y152" s="553"/>
      <c r="Z152" s="553"/>
      <c r="AA152" s="553"/>
      <c r="AB152" s="554"/>
      <c r="AC152" s="555"/>
      <c r="AD152" s="556"/>
      <c r="AE152" s="556"/>
      <c r="AF152" s="556"/>
      <c r="AG152" s="556"/>
    </row>
    <row r="153" spans="1:33">
      <c r="A153" s="585">
        <v>139</v>
      </c>
      <c r="B153" s="587" t="s">
        <v>4522</v>
      </c>
      <c r="C153" s="585">
        <v>139</v>
      </c>
      <c r="D153" s="629" t="s">
        <v>2287</v>
      </c>
      <c r="E153" s="586" t="s">
        <v>4528</v>
      </c>
      <c r="F153" s="675">
        <v>6.2130299999999999E-2</v>
      </c>
      <c r="G153" s="676">
        <v>3463.0023344000001</v>
      </c>
      <c r="H153" s="588">
        <v>487.2</v>
      </c>
      <c r="I153" s="587" t="s">
        <v>601</v>
      </c>
      <c r="J153" s="585">
        <v>2</v>
      </c>
      <c r="K153" s="585" t="s">
        <v>4534</v>
      </c>
      <c r="L153" s="678">
        <v>348</v>
      </c>
      <c r="M153" s="649" t="s">
        <v>2533</v>
      </c>
      <c r="N153" s="679">
        <v>121.62599999999989</v>
      </c>
      <c r="O153" s="679">
        <v>243.24040000000008</v>
      </c>
      <c r="P153" s="589" t="s">
        <v>2534</v>
      </c>
      <c r="Q153" s="680">
        <v>336.67839999999967</v>
      </c>
      <c r="R153" s="696"/>
      <c r="S153" s="553"/>
      <c r="T153" s="553"/>
      <c r="U153" s="553"/>
      <c r="V153" s="553"/>
      <c r="W153" s="553"/>
      <c r="X153" s="553"/>
      <c r="Y153" s="553"/>
      <c r="Z153" s="553"/>
      <c r="AA153" s="553"/>
      <c r="AB153" s="554"/>
      <c r="AC153" s="555"/>
      <c r="AD153" s="556"/>
      <c r="AE153" s="556"/>
      <c r="AF153" s="556"/>
      <c r="AG153" s="556"/>
    </row>
    <row r="154" spans="1:33">
      <c r="A154" s="585">
        <v>140</v>
      </c>
      <c r="B154" s="587" t="s">
        <v>4523</v>
      </c>
      <c r="C154" s="585">
        <v>140</v>
      </c>
      <c r="D154" s="629" t="s">
        <v>2287</v>
      </c>
      <c r="E154" s="586" t="s">
        <v>4529</v>
      </c>
      <c r="F154" s="675">
        <v>6.2130299999999999E-2</v>
      </c>
      <c r="G154" s="676">
        <v>3463.0023344000001</v>
      </c>
      <c r="H154" s="588">
        <v>487.2</v>
      </c>
      <c r="I154" s="587" t="s">
        <v>601</v>
      </c>
      <c r="J154" s="585">
        <v>2</v>
      </c>
      <c r="K154" s="585" t="s">
        <v>4535</v>
      </c>
      <c r="L154" s="678">
        <v>348</v>
      </c>
      <c r="M154" s="649" t="s">
        <v>2533</v>
      </c>
      <c r="N154" s="679">
        <v>121.62599999999989</v>
      </c>
      <c r="O154" s="679">
        <v>243.24040000000008</v>
      </c>
      <c r="P154" s="589" t="s">
        <v>2534</v>
      </c>
      <c r="Q154" s="680">
        <v>336.67839999999967</v>
      </c>
      <c r="R154" s="696"/>
      <c r="S154" s="553"/>
      <c r="T154" s="553"/>
      <c r="U154" s="553"/>
      <c r="V154" s="553"/>
      <c r="W154" s="553"/>
      <c r="X154" s="553"/>
      <c r="Y154" s="553"/>
      <c r="Z154" s="553"/>
      <c r="AA154" s="553"/>
      <c r="AB154" s="554"/>
      <c r="AC154" s="555"/>
      <c r="AD154" s="556"/>
      <c r="AE154" s="556"/>
      <c r="AF154" s="556"/>
      <c r="AG154" s="556"/>
    </row>
    <row r="155" spans="1:33">
      <c r="A155" s="585">
        <v>141</v>
      </c>
      <c r="B155" s="587" t="s">
        <v>4465</v>
      </c>
      <c r="C155" s="585">
        <v>141</v>
      </c>
      <c r="D155" s="629" t="s">
        <v>2287</v>
      </c>
      <c r="E155" s="586" t="s">
        <v>4469</v>
      </c>
      <c r="F155" s="675">
        <v>6.2130299999999999E-2</v>
      </c>
      <c r="G155" s="676">
        <v>3463.0023344000001</v>
      </c>
      <c r="H155" s="588">
        <v>487.2</v>
      </c>
      <c r="I155" s="587" t="s">
        <v>601</v>
      </c>
      <c r="J155" s="585">
        <v>2</v>
      </c>
      <c r="K155" s="585" t="s">
        <v>4473</v>
      </c>
      <c r="L155" s="678">
        <v>348</v>
      </c>
      <c r="M155" s="649" t="s">
        <v>2533</v>
      </c>
      <c r="N155" s="679">
        <v>121.62599999999989</v>
      </c>
      <c r="O155" s="679">
        <v>243.24040000000008</v>
      </c>
      <c r="P155" s="589" t="s">
        <v>2534</v>
      </c>
      <c r="Q155" s="680">
        <v>336.67839999999967</v>
      </c>
      <c r="R155" s="696"/>
      <c r="S155" s="553"/>
      <c r="T155" s="553"/>
      <c r="U155" s="553"/>
      <c r="V155" s="553"/>
      <c r="W155" s="553"/>
      <c r="X155" s="553"/>
      <c r="Y155" s="553"/>
      <c r="Z155" s="553"/>
      <c r="AA155" s="553"/>
      <c r="AB155" s="554"/>
      <c r="AC155" s="555"/>
      <c r="AD155" s="556"/>
      <c r="AE155" s="556"/>
      <c r="AF155" s="556"/>
      <c r="AG155" s="556"/>
    </row>
    <row r="156" spans="1:33">
      <c r="A156" s="585">
        <v>142</v>
      </c>
      <c r="B156" s="587" t="s">
        <v>4466</v>
      </c>
      <c r="C156" s="585">
        <v>142</v>
      </c>
      <c r="D156" s="629" t="s">
        <v>2287</v>
      </c>
      <c r="E156" s="586" t="s">
        <v>4470</v>
      </c>
      <c r="F156" s="675">
        <v>6.2130299999999999E-2</v>
      </c>
      <c r="G156" s="676">
        <v>3463.0023344000001</v>
      </c>
      <c r="H156" s="588">
        <v>487.2</v>
      </c>
      <c r="I156" s="587" t="s">
        <v>601</v>
      </c>
      <c r="J156" s="585">
        <v>2</v>
      </c>
      <c r="K156" s="585" t="s">
        <v>4474</v>
      </c>
      <c r="L156" s="678">
        <v>348</v>
      </c>
      <c r="M156" s="649" t="s">
        <v>2533</v>
      </c>
      <c r="N156" s="679">
        <v>121.62599999999989</v>
      </c>
      <c r="O156" s="679">
        <v>243.24040000000008</v>
      </c>
      <c r="P156" s="589" t="s">
        <v>2534</v>
      </c>
      <c r="Q156" s="680">
        <v>336.67839999999967</v>
      </c>
      <c r="R156" s="696"/>
      <c r="S156" s="553"/>
      <c r="T156" s="553"/>
      <c r="U156" s="553"/>
      <c r="V156" s="553"/>
      <c r="W156" s="553"/>
      <c r="X156" s="553"/>
      <c r="Y156" s="553"/>
      <c r="Z156" s="553"/>
      <c r="AA156" s="553"/>
      <c r="AB156" s="554"/>
      <c r="AC156" s="555"/>
      <c r="AD156" s="556"/>
      <c r="AE156" s="556"/>
      <c r="AF156" s="556"/>
      <c r="AG156" s="556"/>
    </row>
    <row r="157" spans="1:33">
      <c r="A157" s="585">
        <v>143</v>
      </c>
      <c r="B157" s="587" t="s">
        <v>3529</v>
      </c>
      <c r="C157" s="585">
        <v>143</v>
      </c>
      <c r="D157" s="629" t="s">
        <v>2287</v>
      </c>
      <c r="E157" s="586" t="s">
        <v>3703</v>
      </c>
      <c r="F157" s="675">
        <v>4.2173499999999996E-2</v>
      </c>
      <c r="G157" s="676">
        <v>3463.0023344000001</v>
      </c>
      <c r="H157" s="588">
        <v>487.2</v>
      </c>
      <c r="I157" s="587" t="s">
        <v>601</v>
      </c>
      <c r="J157" s="585">
        <v>2</v>
      </c>
      <c r="K157" s="585" t="s">
        <v>3615</v>
      </c>
      <c r="L157" s="678">
        <v>348</v>
      </c>
      <c r="M157" s="649" t="s">
        <v>2533</v>
      </c>
      <c r="N157" s="679">
        <v>121.62599999999989</v>
      </c>
      <c r="O157" s="679">
        <v>243.24040000000008</v>
      </c>
      <c r="P157" s="589" t="s">
        <v>2534</v>
      </c>
      <c r="Q157" s="680">
        <v>336.67839999999967</v>
      </c>
      <c r="R157" s="696"/>
      <c r="S157" s="553"/>
      <c r="T157" s="553"/>
      <c r="U157" s="553"/>
      <c r="V157" s="553"/>
      <c r="W157" s="553"/>
      <c r="X157" s="553"/>
      <c r="Y157" s="553"/>
      <c r="Z157" s="553"/>
      <c r="AA157" s="553"/>
      <c r="AB157" s="554"/>
      <c r="AC157" s="555"/>
      <c r="AD157" s="556"/>
      <c r="AE157" s="556"/>
      <c r="AF157" s="556"/>
      <c r="AG157" s="556"/>
    </row>
    <row r="158" spans="1:33">
      <c r="A158" s="585">
        <v>144</v>
      </c>
      <c r="B158" s="587" t="s">
        <v>3530</v>
      </c>
      <c r="C158" s="585">
        <v>144</v>
      </c>
      <c r="D158" s="629" t="s">
        <v>2287</v>
      </c>
      <c r="E158" s="586" t="s">
        <v>3704</v>
      </c>
      <c r="F158" s="675">
        <v>4.1797399999999998E-2</v>
      </c>
      <c r="G158" s="676">
        <v>3463.0023344000001</v>
      </c>
      <c r="H158" s="588">
        <v>487.2</v>
      </c>
      <c r="I158" s="587" t="s">
        <v>601</v>
      </c>
      <c r="J158" s="585">
        <v>2</v>
      </c>
      <c r="K158" s="585" t="s">
        <v>3616</v>
      </c>
      <c r="L158" s="678">
        <v>348</v>
      </c>
      <c r="M158" s="649" t="s">
        <v>2533</v>
      </c>
      <c r="N158" s="679">
        <v>121.62599999999989</v>
      </c>
      <c r="O158" s="679">
        <v>243.24040000000008</v>
      </c>
      <c r="P158" s="589" t="s">
        <v>2534</v>
      </c>
      <c r="Q158" s="680">
        <v>336.67839999999967</v>
      </c>
      <c r="R158" s="696"/>
      <c r="S158" s="553"/>
      <c r="T158" s="553"/>
      <c r="U158" s="553"/>
      <c r="V158" s="553"/>
      <c r="W158" s="553"/>
      <c r="X158" s="553"/>
      <c r="Y158" s="553"/>
      <c r="Z158" s="553"/>
      <c r="AA158" s="553"/>
      <c r="AB158" s="554"/>
      <c r="AC158" s="555"/>
      <c r="AD158" s="556"/>
      <c r="AE158" s="556"/>
      <c r="AF158" s="556"/>
      <c r="AG158" s="556"/>
    </row>
    <row r="159" spans="1:33">
      <c r="A159" s="585">
        <v>145</v>
      </c>
      <c r="B159" s="587" t="s">
        <v>2623</v>
      </c>
      <c r="C159" s="585">
        <v>145</v>
      </c>
      <c r="D159" s="629" t="s">
        <v>2287</v>
      </c>
      <c r="E159" s="586" t="s">
        <v>2419</v>
      </c>
      <c r="F159" s="675">
        <v>4.2418899999999995E-2</v>
      </c>
      <c r="G159" s="676">
        <v>2538.48</v>
      </c>
      <c r="H159" s="588">
        <v>487.2</v>
      </c>
      <c r="I159" s="587" t="s">
        <v>549</v>
      </c>
      <c r="J159" s="585">
        <v>1</v>
      </c>
      <c r="K159" s="585" t="s">
        <v>648</v>
      </c>
      <c r="L159" s="678">
        <v>348</v>
      </c>
      <c r="M159" s="649" t="s">
        <v>2533</v>
      </c>
      <c r="N159" s="679">
        <v>67.071199999999919</v>
      </c>
      <c r="O159" s="679">
        <v>134.15400000000011</v>
      </c>
      <c r="P159" s="589" t="s">
        <v>2534</v>
      </c>
      <c r="Q159" s="680">
        <v>336.67839999999967</v>
      </c>
      <c r="R159" s="696"/>
      <c r="S159" s="553"/>
      <c r="T159" s="553"/>
      <c r="U159" s="553"/>
      <c r="V159" s="553"/>
      <c r="W159" s="553"/>
      <c r="X159" s="553"/>
      <c r="Y159" s="553"/>
      <c r="Z159" s="553"/>
      <c r="AA159" s="553"/>
      <c r="AB159" s="554"/>
      <c r="AC159" s="555"/>
      <c r="AD159" s="556"/>
      <c r="AE159" s="556"/>
      <c r="AF159" s="556"/>
      <c r="AG159" s="556"/>
    </row>
    <row r="160" spans="1:33">
      <c r="A160" s="585">
        <v>146</v>
      </c>
      <c r="B160" s="587" t="s">
        <v>2624</v>
      </c>
      <c r="C160" s="585">
        <v>146</v>
      </c>
      <c r="D160" s="629" t="s">
        <v>2287</v>
      </c>
      <c r="E160" s="586" t="s">
        <v>2420</v>
      </c>
      <c r="F160" s="675">
        <v>4.2418899999999995E-2</v>
      </c>
      <c r="G160" s="676">
        <v>2538.48</v>
      </c>
      <c r="H160" s="588">
        <v>487.2</v>
      </c>
      <c r="I160" s="587" t="s">
        <v>549</v>
      </c>
      <c r="J160" s="585">
        <v>1</v>
      </c>
      <c r="K160" s="585" t="s">
        <v>649</v>
      </c>
      <c r="L160" s="678">
        <v>348</v>
      </c>
      <c r="M160" s="649" t="s">
        <v>2533</v>
      </c>
      <c r="N160" s="679">
        <v>67.071199999999919</v>
      </c>
      <c r="O160" s="679">
        <v>134.15400000000011</v>
      </c>
      <c r="P160" s="589" t="s">
        <v>2534</v>
      </c>
      <c r="Q160" s="680">
        <v>336.67839999999967</v>
      </c>
      <c r="R160" s="696"/>
      <c r="S160" s="553"/>
      <c r="T160" s="553"/>
      <c r="U160" s="553"/>
      <c r="V160" s="553"/>
      <c r="W160" s="553"/>
      <c r="X160" s="553"/>
      <c r="Y160" s="553"/>
      <c r="Z160" s="553"/>
      <c r="AA160" s="553"/>
      <c r="AB160" s="554"/>
      <c r="AC160" s="555"/>
      <c r="AD160" s="556"/>
      <c r="AE160" s="556"/>
      <c r="AF160" s="556"/>
      <c r="AG160" s="556"/>
    </row>
    <row r="161" spans="1:33">
      <c r="A161" s="585">
        <v>147</v>
      </c>
      <c r="B161" s="587" t="s">
        <v>4455</v>
      </c>
      <c r="C161" s="585">
        <v>147</v>
      </c>
      <c r="D161" s="629" t="s">
        <v>4457</v>
      </c>
      <c r="E161" s="586" t="s">
        <v>2449</v>
      </c>
      <c r="F161" s="675">
        <v>5.1864600000000004E-2</v>
      </c>
      <c r="G161" s="676">
        <v>3463.0023344000001</v>
      </c>
      <c r="H161" s="588">
        <v>487.2</v>
      </c>
      <c r="I161" s="587" t="s">
        <v>601</v>
      </c>
      <c r="J161" s="585">
        <v>2</v>
      </c>
      <c r="K161" s="585" t="s">
        <v>4461</v>
      </c>
      <c r="L161" s="678">
        <v>348</v>
      </c>
      <c r="M161" s="649" t="s">
        <v>2533</v>
      </c>
      <c r="N161" s="679">
        <v>121.62599999999989</v>
      </c>
      <c r="O161" s="679">
        <v>243.24040000000008</v>
      </c>
      <c r="P161" s="589" t="s">
        <v>2534</v>
      </c>
      <c r="Q161" s="680">
        <v>336.67839999999967</v>
      </c>
      <c r="R161" s="696"/>
      <c r="S161" s="553"/>
      <c r="T161" s="553"/>
      <c r="U161" s="553"/>
      <c r="V161" s="553"/>
      <c r="W161" s="553"/>
      <c r="X161" s="553"/>
      <c r="Y161" s="553"/>
      <c r="Z161" s="553"/>
      <c r="AA161" s="553"/>
      <c r="AB161" s="554"/>
      <c r="AC161" s="555"/>
      <c r="AD161" s="556"/>
      <c r="AE161" s="556"/>
      <c r="AF161" s="556"/>
      <c r="AG161" s="556"/>
    </row>
    <row r="162" spans="1:33" s="426" customFormat="1">
      <c r="A162" s="585">
        <v>148</v>
      </c>
      <c r="B162" s="587" t="s">
        <v>2625</v>
      </c>
      <c r="C162" s="585">
        <v>148</v>
      </c>
      <c r="D162" s="629" t="s">
        <v>2288</v>
      </c>
      <c r="E162" s="586" t="s">
        <v>2421</v>
      </c>
      <c r="F162" s="675">
        <v>4.8639700000000001E-2</v>
      </c>
      <c r="G162" s="676">
        <v>3463.0023344000001</v>
      </c>
      <c r="H162" s="588">
        <v>487.2</v>
      </c>
      <c r="I162" s="587" t="s">
        <v>601</v>
      </c>
      <c r="J162" s="585">
        <v>2</v>
      </c>
      <c r="K162" s="585" t="s">
        <v>650</v>
      </c>
      <c r="L162" s="678">
        <v>348</v>
      </c>
      <c r="M162" s="649" t="s">
        <v>2533</v>
      </c>
      <c r="N162" s="679">
        <v>121.62599999999989</v>
      </c>
      <c r="O162" s="679">
        <v>243.24040000000008</v>
      </c>
      <c r="P162" s="589" t="s">
        <v>2534</v>
      </c>
      <c r="Q162" s="680">
        <v>336.67839999999967</v>
      </c>
      <c r="R162" s="696"/>
      <c r="S162" s="553"/>
      <c r="T162" s="553"/>
      <c r="U162" s="553"/>
      <c r="V162" s="553"/>
      <c r="W162" s="553"/>
      <c r="X162" s="553"/>
      <c r="Y162" s="553"/>
      <c r="Z162" s="553"/>
      <c r="AA162" s="553"/>
      <c r="AB162" s="554"/>
      <c r="AC162" s="555"/>
      <c r="AD162" s="556"/>
      <c r="AE162" s="556"/>
      <c r="AF162" s="556"/>
      <c r="AG162" s="556"/>
    </row>
    <row r="163" spans="1:33">
      <c r="A163" s="585">
        <v>149</v>
      </c>
      <c r="B163" s="587" t="s">
        <v>3531</v>
      </c>
      <c r="C163" s="585">
        <v>149</v>
      </c>
      <c r="D163" s="629" t="s">
        <v>2288</v>
      </c>
      <c r="E163" s="586" t="s">
        <v>3705</v>
      </c>
      <c r="F163" s="675">
        <v>4.1875999999999997E-2</v>
      </c>
      <c r="G163" s="676">
        <v>2538.48</v>
      </c>
      <c r="H163" s="588">
        <v>487.2</v>
      </c>
      <c r="I163" s="587" t="s">
        <v>549</v>
      </c>
      <c r="J163" s="585">
        <v>1</v>
      </c>
      <c r="K163" s="585" t="s">
        <v>3617</v>
      </c>
      <c r="L163" s="678">
        <v>348</v>
      </c>
      <c r="M163" s="649" t="s">
        <v>2533</v>
      </c>
      <c r="N163" s="679">
        <v>67.071199999999919</v>
      </c>
      <c r="O163" s="679">
        <v>134.15400000000011</v>
      </c>
      <c r="P163" s="589" t="s">
        <v>2534</v>
      </c>
      <c r="Q163" s="680">
        <v>336.67839999999967</v>
      </c>
      <c r="R163" s="696"/>
      <c r="S163" s="553"/>
      <c r="T163" s="553"/>
      <c r="U163" s="553"/>
      <c r="V163" s="553"/>
      <c r="W163" s="553"/>
      <c r="X163" s="553"/>
      <c r="Y163" s="553"/>
      <c r="Z163" s="553"/>
      <c r="AA163" s="553"/>
      <c r="AB163" s="554"/>
      <c r="AC163" s="555"/>
      <c r="AD163" s="556"/>
      <c r="AE163" s="556"/>
      <c r="AF163" s="556"/>
      <c r="AG163" s="556"/>
    </row>
    <row r="164" spans="1:33">
      <c r="A164" s="585">
        <v>150</v>
      </c>
      <c r="B164" s="587" t="s">
        <v>3532</v>
      </c>
      <c r="C164" s="585">
        <v>150</v>
      </c>
      <c r="D164" s="629" t="s">
        <v>2288</v>
      </c>
      <c r="E164" s="586" t="s">
        <v>3706</v>
      </c>
      <c r="F164" s="675">
        <v>4.1875999999999997E-2</v>
      </c>
      <c r="G164" s="676">
        <v>2538.48</v>
      </c>
      <c r="H164" s="588">
        <v>487.2</v>
      </c>
      <c r="I164" s="587" t="s">
        <v>549</v>
      </c>
      <c r="J164" s="585">
        <v>1</v>
      </c>
      <c r="K164" s="585" t="s">
        <v>3618</v>
      </c>
      <c r="L164" s="678">
        <v>348</v>
      </c>
      <c r="M164" s="649" t="s">
        <v>2533</v>
      </c>
      <c r="N164" s="679">
        <v>67.071199999999919</v>
      </c>
      <c r="O164" s="679">
        <v>134.15400000000011</v>
      </c>
      <c r="P164" s="589" t="s">
        <v>2534</v>
      </c>
      <c r="Q164" s="680">
        <v>336.67839999999967</v>
      </c>
      <c r="R164" s="696"/>
      <c r="S164" s="553"/>
      <c r="T164" s="553"/>
      <c r="U164" s="553"/>
      <c r="V164" s="553"/>
      <c r="W164" s="553"/>
      <c r="X164" s="553"/>
      <c r="Y164" s="553"/>
      <c r="Z164" s="553"/>
      <c r="AA164" s="553"/>
      <c r="AB164" s="554"/>
      <c r="AC164" s="555"/>
      <c r="AD164" s="556"/>
      <c r="AE164" s="556"/>
      <c r="AF164" s="556"/>
      <c r="AG164" s="556"/>
    </row>
    <row r="165" spans="1:33">
      <c r="A165" s="585">
        <v>151</v>
      </c>
      <c r="B165" s="587" t="s">
        <v>3533</v>
      </c>
      <c r="C165" s="585">
        <v>151</v>
      </c>
      <c r="D165" s="629" t="s">
        <v>2288</v>
      </c>
      <c r="E165" s="586" t="s">
        <v>3707</v>
      </c>
      <c r="F165" s="675">
        <v>4.1875999999999997E-2</v>
      </c>
      <c r="G165" s="676">
        <v>2538.48</v>
      </c>
      <c r="H165" s="588">
        <v>487.2</v>
      </c>
      <c r="I165" s="587" t="s">
        <v>549</v>
      </c>
      <c r="J165" s="585">
        <v>1</v>
      </c>
      <c r="K165" s="585" t="s">
        <v>3619</v>
      </c>
      <c r="L165" s="678">
        <v>348</v>
      </c>
      <c r="M165" s="649" t="s">
        <v>2533</v>
      </c>
      <c r="N165" s="679">
        <v>67.071199999999919</v>
      </c>
      <c r="O165" s="679">
        <v>134.15400000000011</v>
      </c>
      <c r="P165" s="589" t="s">
        <v>2534</v>
      </c>
      <c r="Q165" s="680">
        <v>336.67839999999967</v>
      </c>
      <c r="R165" s="696"/>
      <c r="S165" s="553"/>
      <c r="T165" s="553"/>
      <c r="U165" s="553"/>
      <c r="V165" s="553"/>
      <c r="W165" s="553"/>
      <c r="X165" s="553"/>
      <c r="Y165" s="553"/>
      <c r="Z165" s="553"/>
      <c r="AA165" s="553"/>
      <c r="AB165" s="554"/>
      <c r="AC165" s="555"/>
      <c r="AD165" s="556"/>
      <c r="AE165" s="556"/>
      <c r="AF165" s="556"/>
      <c r="AG165" s="556"/>
    </row>
    <row r="166" spans="1:33">
      <c r="A166" s="585">
        <v>152</v>
      </c>
      <c r="B166" s="587" t="s">
        <v>3534</v>
      </c>
      <c r="C166" s="585">
        <v>152</v>
      </c>
      <c r="D166" s="629" t="s">
        <v>2288</v>
      </c>
      <c r="E166" s="586" t="s">
        <v>3708</v>
      </c>
      <c r="F166" s="675">
        <v>4.1875999999999997E-2</v>
      </c>
      <c r="G166" s="676">
        <v>2538.48</v>
      </c>
      <c r="H166" s="588">
        <v>487.2</v>
      </c>
      <c r="I166" s="587" t="s">
        <v>549</v>
      </c>
      <c r="J166" s="585">
        <v>1</v>
      </c>
      <c r="K166" s="585" t="s">
        <v>3620</v>
      </c>
      <c r="L166" s="678">
        <v>348</v>
      </c>
      <c r="M166" s="649" t="s">
        <v>2533</v>
      </c>
      <c r="N166" s="679">
        <v>67.071199999999919</v>
      </c>
      <c r="O166" s="679">
        <v>134.15400000000011</v>
      </c>
      <c r="P166" s="589" t="s">
        <v>2534</v>
      </c>
      <c r="Q166" s="680">
        <v>336.67839999999967</v>
      </c>
      <c r="R166" s="696"/>
      <c r="S166" s="553"/>
      <c r="T166" s="553"/>
      <c r="U166" s="553"/>
      <c r="V166" s="553"/>
      <c r="W166" s="553"/>
      <c r="X166" s="553"/>
      <c r="Y166" s="553"/>
      <c r="Z166" s="553"/>
      <c r="AA166" s="553"/>
      <c r="AB166" s="554"/>
      <c r="AC166" s="555"/>
      <c r="AD166" s="556"/>
      <c r="AE166" s="556"/>
      <c r="AF166" s="556"/>
      <c r="AG166" s="556"/>
    </row>
    <row r="167" spans="1:33">
      <c r="A167" s="585">
        <v>153</v>
      </c>
      <c r="B167" s="587" t="s">
        <v>3535</v>
      </c>
      <c r="C167" s="585">
        <v>153</v>
      </c>
      <c r="D167" s="629" t="s">
        <v>2288</v>
      </c>
      <c r="E167" s="586" t="s">
        <v>3709</v>
      </c>
      <c r="F167" s="675">
        <v>4.1875999999999997E-2</v>
      </c>
      <c r="G167" s="676">
        <v>2538.48</v>
      </c>
      <c r="H167" s="588">
        <v>487.2</v>
      </c>
      <c r="I167" s="587" t="s">
        <v>549</v>
      </c>
      <c r="J167" s="585">
        <v>1</v>
      </c>
      <c r="K167" s="585" t="s">
        <v>3621</v>
      </c>
      <c r="L167" s="678">
        <v>348</v>
      </c>
      <c r="M167" s="649" t="s">
        <v>2533</v>
      </c>
      <c r="N167" s="679">
        <v>67.071199999999919</v>
      </c>
      <c r="O167" s="679">
        <v>134.15400000000011</v>
      </c>
      <c r="P167" s="589" t="s">
        <v>2534</v>
      </c>
      <c r="Q167" s="680">
        <v>336.67839999999967</v>
      </c>
      <c r="R167" s="696"/>
      <c r="S167" s="553"/>
      <c r="T167" s="553"/>
      <c r="U167" s="553"/>
      <c r="V167" s="553"/>
      <c r="W167" s="553"/>
      <c r="X167" s="553"/>
      <c r="Y167" s="553"/>
      <c r="Z167" s="553"/>
      <c r="AA167" s="553"/>
      <c r="AB167" s="554"/>
      <c r="AC167" s="555"/>
      <c r="AD167" s="556"/>
      <c r="AE167" s="556"/>
      <c r="AF167" s="556"/>
      <c r="AG167" s="556"/>
    </row>
    <row r="168" spans="1:33">
      <c r="A168" s="585">
        <v>154</v>
      </c>
      <c r="B168" s="587" t="s">
        <v>2626</v>
      </c>
      <c r="C168" s="585">
        <v>154</v>
      </c>
      <c r="D168" s="629" t="s">
        <v>2288</v>
      </c>
      <c r="E168" s="586" t="s">
        <v>2465</v>
      </c>
      <c r="F168" s="675">
        <v>5.0458100000000006E-2</v>
      </c>
      <c r="G168" s="676">
        <v>3463.0023344000001</v>
      </c>
      <c r="H168" s="588">
        <v>487.2</v>
      </c>
      <c r="I168" s="587" t="s">
        <v>601</v>
      </c>
      <c r="J168" s="585">
        <v>2</v>
      </c>
      <c r="K168" s="585" t="s">
        <v>2466</v>
      </c>
      <c r="L168" s="678">
        <v>348</v>
      </c>
      <c r="M168" s="649" t="s">
        <v>2533</v>
      </c>
      <c r="N168" s="679">
        <v>121.62599999999989</v>
      </c>
      <c r="O168" s="679">
        <v>243.24040000000008</v>
      </c>
      <c r="P168" s="589" t="s">
        <v>2534</v>
      </c>
      <c r="Q168" s="680">
        <v>336.67839999999967</v>
      </c>
      <c r="R168" s="696"/>
      <c r="S168" s="553"/>
      <c r="T168" s="553"/>
      <c r="U168" s="553"/>
      <c r="V168" s="553"/>
      <c r="W168" s="553"/>
      <c r="X168" s="553"/>
      <c r="Y168" s="553"/>
      <c r="Z168" s="553"/>
      <c r="AA168" s="553"/>
      <c r="AB168" s="554"/>
      <c r="AC168" s="555"/>
      <c r="AD168" s="556"/>
      <c r="AE168" s="556"/>
      <c r="AF168" s="556"/>
      <c r="AG168" s="556"/>
    </row>
    <row r="169" spans="1:33">
      <c r="A169" s="585">
        <v>155</v>
      </c>
      <c r="B169" s="587" t="s">
        <v>2627</v>
      </c>
      <c r="C169" s="585">
        <v>155</v>
      </c>
      <c r="D169" s="629" t="s">
        <v>2288</v>
      </c>
      <c r="E169" s="586" t="s">
        <v>2422</v>
      </c>
      <c r="F169" s="675">
        <v>5.0458100000000006E-2</v>
      </c>
      <c r="G169" s="676">
        <v>3463.0023344000001</v>
      </c>
      <c r="H169" s="588">
        <v>487.2</v>
      </c>
      <c r="I169" s="587" t="s">
        <v>601</v>
      </c>
      <c r="J169" s="585">
        <v>2</v>
      </c>
      <c r="K169" s="585" t="s">
        <v>651</v>
      </c>
      <c r="L169" s="678">
        <v>348</v>
      </c>
      <c r="M169" s="649" t="s">
        <v>2533</v>
      </c>
      <c r="N169" s="679">
        <v>121.62599999999989</v>
      </c>
      <c r="O169" s="679">
        <v>243.24040000000008</v>
      </c>
      <c r="P169" s="589" t="s">
        <v>2534</v>
      </c>
      <c r="Q169" s="680">
        <v>336.67839999999967</v>
      </c>
      <c r="R169" s="696"/>
      <c r="S169" s="553"/>
      <c r="T169" s="553"/>
      <c r="U169" s="553"/>
      <c r="V169" s="553"/>
      <c r="W169" s="553"/>
      <c r="X169" s="553"/>
      <c r="Y169" s="553"/>
      <c r="Z169" s="553"/>
      <c r="AA169" s="553"/>
      <c r="AB169" s="554"/>
      <c r="AC169" s="555"/>
      <c r="AD169" s="556"/>
      <c r="AE169" s="556"/>
      <c r="AF169" s="556"/>
      <c r="AG169" s="556"/>
    </row>
    <row r="170" spans="1:33">
      <c r="A170" s="585">
        <v>156</v>
      </c>
      <c r="B170" s="587" t="s">
        <v>3536</v>
      </c>
      <c r="C170" s="585">
        <v>156</v>
      </c>
      <c r="D170" s="629" t="s">
        <v>2288</v>
      </c>
      <c r="E170" s="586" t="s">
        <v>3710</v>
      </c>
      <c r="F170" s="675">
        <v>3.1363000000000002E-2</v>
      </c>
      <c r="G170" s="676">
        <v>7453.37</v>
      </c>
      <c r="H170" s="588">
        <v>487.2</v>
      </c>
      <c r="I170" s="587" t="s">
        <v>3793</v>
      </c>
      <c r="J170" s="585">
        <v>3</v>
      </c>
      <c r="K170" s="585" t="s">
        <v>3622</v>
      </c>
      <c r="L170" s="678">
        <v>0</v>
      </c>
      <c r="M170" s="649" t="s">
        <v>2533</v>
      </c>
      <c r="N170" s="679">
        <v>298.14</v>
      </c>
      <c r="O170" s="679">
        <v>596.29</v>
      </c>
      <c r="P170" s="589" t="s">
        <v>2534</v>
      </c>
      <c r="Q170" s="680">
        <v>0</v>
      </c>
      <c r="R170" s="696"/>
      <c r="S170" s="553"/>
      <c r="T170" s="553"/>
      <c r="U170" s="553"/>
      <c r="V170" s="553"/>
      <c r="W170" s="553"/>
      <c r="X170" s="553"/>
      <c r="Y170" s="553"/>
      <c r="Z170" s="553"/>
      <c r="AA170" s="553"/>
      <c r="AB170" s="554"/>
      <c r="AC170" s="555"/>
      <c r="AD170" s="556"/>
      <c r="AE170" s="556"/>
      <c r="AF170" s="556"/>
      <c r="AG170" s="556"/>
    </row>
    <row r="171" spans="1:33">
      <c r="A171" s="585">
        <v>157</v>
      </c>
      <c r="B171" s="587" t="s">
        <v>3537</v>
      </c>
      <c r="C171" s="585">
        <v>157</v>
      </c>
      <c r="D171" s="629" t="s">
        <v>2288</v>
      </c>
      <c r="E171" s="586" t="s">
        <v>3711</v>
      </c>
      <c r="F171" s="675">
        <v>4.5495799999999996E-2</v>
      </c>
      <c r="G171" s="676">
        <v>2538.48</v>
      </c>
      <c r="H171" s="588">
        <v>487.2</v>
      </c>
      <c r="I171" s="587" t="s">
        <v>549</v>
      </c>
      <c r="J171" s="585">
        <v>1</v>
      </c>
      <c r="K171" s="585" t="s">
        <v>3623</v>
      </c>
      <c r="L171" s="678">
        <v>348</v>
      </c>
      <c r="M171" s="649" t="s">
        <v>2533</v>
      </c>
      <c r="N171" s="679">
        <v>67.071199999999919</v>
      </c>
      <c r="O171" s="679">
        <v>134.15400000000011</v>
      </c>
      <c r="P171" s="589" t="s">
        <v>2534</v>
      </c>
      <c r="Q171" s="680">
        <v>336.67839999999967</v>
      </c>
      <c r="R171" s="696"/>
      <c r="S171" s="553"/>
      <c r="T171" s="553"/>
      <c r="U171" s="553"/>
      <c r="V171" s="553"/>
      <c r="W171" s="553"/>
      <c r="X171" s="553"/>
      <c r="Y171" s="553"/>
      <c r="Z171" s="553"/>
      <c r="AA171" s="553"/>
      <c r="AB171" s="554"/>
      <c r="AC171" s="555"/>
      <c r="AD171" s="556"/>
      <c r="AE171" s="556"/>
      <c r="AF171" s="556"/>
      <c r="AG171" s="556"/>
    </row>
    <row r="172" spans="1:33">
      <c r="A172" s="585">
        <v>158</v>
      </c>
      <c r="B172" s="587" t="s">
        <v>3538</v>
      </c>
      <c r="C172" s="585">
        <v>158</v>
      </c>
      <c r="D172" s="629" t="s">
        <v>2288</v>
      </c>
      <c r="E172" s="586" t="s">
        <v>3712</v>
      </c>
      <c r="F172" s="675">
        <v>5.4547999999999999E-2</v>
      </c>
      <c r="G172" s="676">
        <v>3463.0023344000001</v>
      </c>
      <c r="H172" s="588">
        <v>487.2</v>
      </c>
      <c r="I172" s="587" t="s">
        <v>601</v>
      </c>
      <c r="J172" s="585">
        <v>2</v>
      </c>
      <c r="K172" s="585" t="s">
        <v>3624</v>
      </c>
      <c r="L172" s="678">
        <v>348</v>
      </c>
      <c r="M172" s="649" t="s">
        <v>2533</v>
      </c>
      <c r="N172" s="679">
        <v>121.62599999999989</v>
      </c>
      <c r="O172" s="679">
        <v>243.24</v>
      </c>
      <c r="P172" s="589" t="s">
        <v>2534</v>
      </c>
      <c r="Q172" s="680">
        <v>429.2</v>
      </c>
      <c r="R172" s="696"/>
      <c r="S172" s="553"/>
      <c r="T172" s="553"/>
      <c r="U172" s="553"/>
      <c r="V172" s="553"/>
      <c r="W172" s="553"/>
      <c r="X172" s="553"/>
      <c r="Y172" s="553"/>
      <c r="Z172" s="553"/>
      <c r="AA172" s="553"/>
      <c r="AB172" s="554"/>
      <c r="AC172" s="555"/>
      <c r="AD172" s="556"/>
      <c r="AE172" s="556"/>
      <c r="AF172" s="556"/>
      <c r="AG172" s="556"/>
    </row>
    <row r="173" spans="1:33">
      <c r="A173" s="585">
        <v>159</v>
      </c>
      <c r="B173" s="587" t="s">
        <v>3539</v>
      </c>
      <c r="C173" s="585">
        <v>159</v>
      </c>
      <c r="D173" s="629" t="s">
        <v>2288</v>
      </c>
      <c r="E173" s="586" t="s">
        <v>3713</v>
      </c>
      <c r="F173" s="675">
        <v>3.1363000000000002E-2</v>
      </c>
      <c r="G173" s="676">
        <v>7453.37</v>
      </c>
      <c r="H173" s="588">
        <v>487.2</v>
      </c>
      <c r="I173" s="587" t="s">
        <v>3793</v>
      </c>
      <c r="J173" s="585">
        <v>3</v>
      </c>
      <c r="K173" s="585" t="s">
        <v>3625</v>
      </c>
      <c r="L173" s="678">
        <v>0</v>
      </c>
      <c r="M173" s="649" t="s">
        <v>2533</v>
      </c>
      <c r="N173" s="679">
        <v>298.14</v>
      </c>
      <c r="O173" s="679">
        <v>596.29</v>
      </c>
      <c r="P173" s="589" t="s">
        <v>2534</v>
      </c>
      <c r="Q173" s="680">
        <v>0</v>
      </c>
      <c r="R173" s="696"/>
      <c r="S173" s="553"/>
      <c r="T173" s="553"/>
      <c r="U173" s="553"/>
      <c r="V173" s="553"/>
      <c r="W173" s="553"/>
      <c r="X173" s="553"/>
      <c r="Y173" s="553"/>
      <c r="Z173" s="553"/>
      <c r="AA173" s="553"/>
      <c r="AB173" s="554"/>
      <c r="AC173" s="555"/>
      <c r="AD173" s="556"/>
      <c r="AE173" s="556"/>
      <c r="AF173" s="556"/>
      <c r="AG173" s="556"/>
    </row>
    <row r="174" spans="1:33">
      <c r="A174" s="585">
        <v>160</v>
      </c>
      <c r="B174" s="587" t="s">
        <v>2628</v>
      </c>
      <c r="C174" s="585">
        <v>160</v>
      </c>
      <c r="D174" s="629" t="s">
        <v>2288</v>
      </c>
      <c r="E174" s="586" t="s">
        <v>2423</v>
      </c>
      <c r="F174" s="675">
        <v>4.5495799999999996E-2</v>
      </c>
      <c r="G174" s="676">
        <v>2538.48</v>
      </c>
      <c r="H174" s="588">
        <v>487.2</v>
      </c>
      <c r="I174" s="587" t="s">
        <v>549</v>
      </c>
      <c r="J174" s="585">
        <v>1</v>
      </c>
      <c r="K174" s="585" t="s">
        <v>652</v>
      </c>
      <c r="L174" s="678">
        <v>348</v>
      </c>
      <c r="M174" s="649" t="s">
        <v>2533</v>
      </c>
      <c r="N174" s="679">
        <v>67.071199999999919</v>
      </c>
      <c r="O174" s="679">
        <v>134.15400000000011</v>
      </c>
      <c r="P174" s="589" t="s">
        <v>2534</v>
      </c>
      <c r="Q174" s="680">
        <v>336.67839999999967</v>
      </c>
      <c r="R174" s="696"/>
      <c r="S174" s="553"/>
      <c r="T174" s="553"/>
      <c r="U174" s="553"/>
      <c r="V174" s="553"/>
      <c r="W174" s="553"/>
      <c r="X174" s="553"/>
      <c r="Y174" s="553"/>
      <c r="Z174" s="553"/>
      <c r="AA174" s="553"/>
      <c r="AB174" s="554"/>
      <c r="AC174" s="555"/>
      <c r="AD174" s="556"/>
      <c r="AE174" s="556"/>
      <c r="AF174" s="556"/>
      <c r="AG174" s="556"/>
    </row>
    <row r="175" spans="1:33">
      <c r="A175" s="585">
        <v>161</v>
      </c>
      <c r="B175" s="587" t="s">
        <v>2629</v>
      </c>
      <c r="C175" s="585">
        <v>161</v>
      </c>
      <c r="D175" s="629" t="s">
        <v>2288</v>
      </c>
      <c r="E175" s="586" t="s">
        <v>2424</v>
      </c>
      <c r="F175" s="675">
        <v>4.8639700000000001E-2</v>
      </c>
      <c r="G175" s="676">
        <v>3463.0023344000001</v>
      </c>
      <c r="H175" s="588">
        <v>487.2</v>
      </c>
      <c r="I175" s="587" t="s">
        <v>601</v>
      </c>
      <c r="J175" s="585">
        <v>2</v>
      </c>
      <c r="K175" s="585" t="s">
        <v>653</v>
      </c>
      <c r="L175" s="678">
        <v>348</v>
      </c>
      <c r="M175" s="649" t="s">
        <v>2533</v>
      </c>
      <c r="N175" s="679">
        <v>121.62599999999989</v>
      </c>
      <c r="O175" s="679">
        <v>243.24040000000008</v>
      </c>
      <c r="P175" s="589" t="s">
        <v>2534</v>
      </c>
      <c r="Q175" s="680">
        <v>336.67839999999967</v>
      </c>
      <c r="R175" s="696"/>
      <c r="S175" s="553"/>
      <c r="T175" s="553"/>
      <c r="U175" s="553"/>
      <c r="V175" s="553"/>
      <c r="W175" s="553"/>
      <c r="X175" s="553"/>
      <c r="Y175" s="553"/>
      <c r="Z175" s="553"/>
      <c r="AA175" s="553"/>
      <c r="AB175" s="554"/>
      <c r="AC175" s="555"/>
      <c r="AD175" s="556"/>
      <c r="AE175" s="556"/>
      <c r="AF175" s="556"/>
      <c r="AG175" s="556"/>
    </row>
    <row r="176" spans="1:33">
      <c r="A176" s="585">
        <v>162</v>
      </c>
      <c r="B176" s="587" t="s">
        <v>2630</v>
      </c>
      <c r="C176" s="585">
        <v>162</v>
      </c>
      <c r="D176" s="629" t="s">
        <v>2288</v>
      </c>
      <c r="E176" s="586" t="s">
        <v>2425</v>
      </c>
      <c r="F176" s="675">
        <v>4.8639700000000001E-2</v>
      </c>
      <c r="G176" s="676">
        <v>3463.0023344000001</v>
      </c>
      <c r="H176" s="588">
        <v>487.2</v>
      </c>
      <c r="I176" s="587" t="s">
        <v>601</v>
      </c>
      <c r="J176" s="585">
        <v>2</v>
      </c>
      <c r="K176" s="585" t="s">
        <v>654</v>
      </c>
      <c r="L176" s="678">
        <v>348</v>
      </c>
      <c r="M176" s="649" t="s">
        <v>2533</v>
      </c>
      <c r="N176" s="679">
        <v>121.62599999999989</v>
      </c>
      <c r="O176" s="679">
        <v>243.24040000000008</v>
      </c>
      <c r="P176" s="589" t="s">
        <v>2534</v>
      </c>
      <c r="Q176" s="680">
        <v>336.67839999999967</v>
      </c>
      <c r="R176" s="696"/>
      <c r="S176" s="553"/>
      <c r="T176" s="553"/>
      <c r="U176" s="553"/>
      <c r="V176" s="553"/>
      <c r="W176" s="553"/>
      <c r="X176" s="553"/>
      <c r="Y176" s="553"/>
      <c r="Z176" s="553"/>
      <c r="AA176" s="553"/>
      <c r="AB176" s="554"/>
      <c r="AC176" s="555"/>
      <c r="AD176" s="556"/>
      <c r="AE176" s="556"/>
      <c r="AF176" s="556"/>
      <c r="AG176" s="556"/>
    </row>
    <row r="177" spans="1:33">
      <c r="A177" s="585">
        <v>163</v>
      </c>
      <c r="B177" s="587" t="s">
        <v>2631</v>
      </c>
      <c r="C177" s="585">
        <v>163</v>
      </c>
      <c r="D177" s="629" t="s">
        <v>2288</v>
      </c>
      <c r="E177" s="586" t="s">
        <v>2426</v>
      </c>
      <c r="F177" s="675">
        <v>4.8565799999999999E-2</v>
      </c>
      <c r="G177" s="676">
        <v>2538.48</v>
      </c>
      <c r="H177" s="588">
        <v>487.2</v>
      </c>
      <c r="I177" s="587" t="s">
        <v>549</v>
      </c>
      <c r="J177" s="585">
        <v>1</v>
      </c>
      <c r="K177" s="585" t="s">
        <v>655</v>
      </c>
      <c r="L177" s="678">
        <v>348</v>
      </c>
      <c r="M177" s="649" t="s">
        <v>2533</v>
      </c>
      <c r="N177" s="679">
        <v>67.071199999999919</v>
      </c>
      <c r="O177" s="679">
        <v>134.15400000000011</v>
      </c>
      <c r="P177" s="589" t="s">
        <v>2534</v>
      </c>
      <c r="Q177" s="680">
        <v>336.67839999999967</v>
      </c>
      <c r="R177" s="696"/>
      <c r="S177" s="553"/>
      <c r="T177" s="553"/>
      <c r="U177" s="553"/>
      <c r="V177" s="553"/>
      <c r="W177" s="553"/>
      <c r="X177" s="553"/>
      <c r="Y177" s="553"/>
      <c r="Z177" s="553"/>
      <c r="AA177" s="553"/>
      <c r="AB177" s="554"/>
      <c r="AC177" s="555"/>
      <c r="AD177" s="556"/>
      <c r="AE177" s="556"/>
      <c r="AF177" s="556"/>
      <c r="AG177" s="556"/>
    </row>
    <row r="178" spans="1:33">
      <c r="A178" s="585">
        <v>164</v>
      </c>
      <c r="B178" s="587" t="s">
        <v>2632</v>
      </c>
      <c r="C178" s="585">
        <v>164</v>
      </c>
      <c r="D178" s="629" t="s">
        <v>2289</v>
      </c>
      <c r="E178" s="586" t="s">
        <v>2289</v>
      </c>
      <c r="F178" s="675">
        <v>4.51984E-2</v>
      </c>
      <c r="G178" s="676">
        <v>2538.48</v>
      </c>
      <c r="H178" s="588">
        <v>487.2</v>
      </c>
      <c r="I178" s="587" t="s">
        <v>549</v>
      </c>
      <c r="J178" s="585">
        <v>1</v>
      </c>
      <c r="K178" s="585" t="s">
        <v>656</v>
      </c>
      <c r="L178" s="678">
        <v>348</v>
      </c>
      <c r="M178" s="649" t="s">
        <v>2533</v>
      </c>
      <c r="N178" s="679">
        <v>67.071199999999919</v>
      </c>
      <c r="O178" s="679">
        <v>134.15400000000011</v>
      </c>
      <c r="P178" s="589" t="s">
        <v>2534</v>
      </c>
      <c r="Q178" s="680">
        <v>336.67839999999967</v>
      </c>
      <c r="R178" s="696"/>
      <c r="S178" s="553"/>
      <c r="T178" s="553"/>
      <c r="U178" s="553"/>
      <c r="V178" s="553"/>
      <c r="W178" s="553"/>
      <c r="X178" s="553"/>
      <c r="Y178" s="553"/>
      <c r="Z178" s="553"/>
      <c r="AA178" s="553"/>
      <c r="AB178" s="554"/>
      <c r="AC178" s="555"/>
      <c r="AD178" s="556"/>
      <c r="AE178" s="556"/>
      <c r="AF178" s="556"/>
      <c r="AG178" s="556"/>
    </row>
    <row r="179" spans="1:33">
      <c r="A179" s="585">
        <v>165</v>
      </c>
      <c r="B179" s="587" t="s">
        <v>2633</v>
      </c>
      <c r="C179" s="585">
        <v>165</v>
      </c>
      <c r="D179" s="629" t="s">
        <v>2290</v>
      </c>
      <c r="E179" s="586" t="s">
        <v>4441</v>
      </c>
      <c r="F179" s="675">
        <v>3.6879200000000001E-2</v>
      </c>
      <c r="G179" s="676">
        <v>2538.48</v>
      </c>
      <c r="H179" s="588">
        <v>487.2</v>
      </c>
      <c r="I179" s="587" t="s">
        <v>549</v>
      </c>
      <c r="J179" s="585">
        <v>1</v>
      </c>
      <c r="K179" s="585" t="s">
        <v>657</v>
      </c>
      <c r="L179" s="678">
        <v>348</v>
      </c>
      <c r="M179" s="649" t="s">
        <v>2533</v>
      </c>
      <c r="N179" s="679">
        <v>67.071199999999919</v>
      </c>
      <c r="O179" s="679">
        <v>134.15400000000011</v>
      </c>
      <c r="P179" s="589" t="s">
        <v>2534</v>
      </c>
      <c r="Q179" s="680">
        <v>336.67839999999967</v>
      </c>
      <c r="R179" s="696"/>
      <c r="S179" s="553"/>
      <c r="T179" s="553"/>
      <c r="U179" s="553"/>
      <c r="V179" s="553"/>
      <c r="W179" s="553"/>
      <c r="X179" s="553"/>
      <c r="Y179" s="553"/>
      <c r="Z179" s="553"/>
      <c r="AA179" s="553"/>
      <c r="AB179" s="554"/>
      <c r="AC179" s="555"/>
      <c r="AD179" s="556"/>
      <c r="AE179" s="556"/>
      <c r="AF179" s="556"/>
      <c r="AG179" s="556"/>
    </row>
    <row r="180" spans="1:33">
      <c r="A180" s="585">
        <v>166</v>
      </c>
      <c r="B180" s="587" t="s">
        <v>2634</v>
      </c>
      <c r="C180" s="585">
        <v>166</v>
      </c>
      <c r="D180" s="629" t="s">
        <v>2290</v>
      </c>
      <c r="E180" s="586" t="s">
        <v>2427</v>
      </c>
      <c r="F180" s="675">
        <v>3.9334799999999996E-2</v>
      </c>
      <c r="G180" s="676">
        <v>2538.48</v>
      </c>
      <c r="H180" s="588">
        <v>487.2</v>
      </c>
      <c r="I180" s="587" t="s">
        <v>549</v>
      </c>
      <c r="J180" s="585">
        <v>1</v>
      </c>
      <c r="K180" s="585" t="s">
        <v>658</v>
      </c>
      <c r="L180" s="678">
        <v>348</v>
      </c>
      <c r="M180" s="649" t="s">
        <v>2533</v>
      </c>
      <c r="N180" s="679">
        <v>67.071199999999919</v>
      </c>
      <c r="O180" s="679">
        <v>134.15400000000011</v>
      </c>
      <c r="P180" s="589" t="s">
        <v>2534</v>
      </c>
      <c r="Q180" s="680">
        <v>336.67839999999967</v>
      </c>
      <c r="R180" s="696"/>
      <c r="S180" s="553"/>
      <c r="T180" s="553"/>
      <c r="U180" s="553"/>
      <c r="V180" s="553"/>
      <c r="W180" s="553"/>
      <c r="X180" s="553"/>
      <c r="Y180" s="553"/>
      <c r="Z180" s="553"/>
      <c r="AA180" s="553"/>
      <c r="AB180" s="554"/>
      <c r="AC180" s="555"/>
      <c r="AD180" s="556"/>
      <c r="AE180" s="556"/>
      <c r="AF180" s="556"/>
      <c r="AG180" s="556"/>
    </row>
    <row r="181" spans="1:33">
      <c r="A181" s="585">
        <v>167</v>
      </c>
      <c r="B181" s="587" t="s">
        <v>2635</v>
      </c>
      <c r="C181" s="585">
        <v>167</v>
      </c>
      <c r="D181" s="629" t="s">
        <v>2290</v>
      </c>
      <c r="E181" s="586" t="s">
        <v>2428</v>
      </c>
      <c r="F181" s="675">
        <v>3.9334799999999996E-2</v>
      </c>
      <c r="G181" s="676">
        <v>2538.48</v>
      </c>
      <c r="H181" s="588">
        <v>487.2</v>
      </c>
      <c r="I181" s="587" t="s">
        <v>549</v>
      </c>
      <c r="J181" s="585">
        <v>1</v>
      </c>
      <c r="K181" s="585" t="s">
        <v>659</v>
      </c>
      <c r="L181" s="678">
        <v>348</v>
      </c>
      <c r="M181" s="649" t="s">
        <v>2533</v>
      </c>
      <c r="N181" s="679">
        <v>67.071199999999919</v>
      </c>
      <c r="O181" s="679">
        <v>134.15400000000011</v>
      </c>
      <c r="P181" s="589" t="s">
        <v>2534</v>
      </c>
      <c r="Q181" s="680">
        <v>336.67839999999967</v>
      </c>
      <c r="R181" s="696"/>
      <c r="S181" s="553"/>
      <c r="T181" s="553"/>
      <c r="U181" s="553"/>
      <c r="V181" s="553"/>
      <c r="W181" s="553"/>
      <c r="X181" s="553"/>
      <c r="Y181" s="553"/>
      <c r="Z181" s="553"/>
      <c r="AA181" s="553"/>
      <c r="AB181" s="554"/>
      <c r="AC181" s="555"/>
      <c r="AD181" s="556"/>
      <c r="AE181" s="556"/>
      <c r="AF181" s="556"/>
      <c r="AG181" s="556"/>
    </row>
    <row r="182" spans="1:33" s="427" customFormat="1">
      <c r="A182" s="585">
        <v>168</v>
      </c>
      <c r="B182" s="587" t="s">
        <v>2636</v>
      </c>
      <c r="C182" s="585">
        <v>168</v>
      </c>
      <c r="D182" s="629" t="s">
        <v>2290</v>
      </c>
      <c r="E182" s="586" t="s">
        <v>2429</v>
      </c>
      <c r="F182" s="675">
        <v>4.8639700000000001E-2</v>
      </c>
      <c r="G182" s="676">
        <v>3463.0023344000001</v>
      </c>
      <c r="H182" s="588">
        <v>487.2</v>
      </c>
      <c r="I182" s="587" t="s">
        <v>601</v>
      </c>
      <c r="J182" s="585">
        <v>2</v>
      </c>
      <c r="K182" s="585" t="s">
        <v>660</v>
      </c>
      <c r="L182" s="678">
        <v>348</v>
      </c>
      <c r="M182" s="649" t="s">
        <v>2533</v>
      </c>
      <c r="N182" s="679">
        <v>121.62599999999989</v>
      </c>
      <c r="O182" s="679">
        <v>243.24040000000008</v>
      </c>
      <c r="P182" s="589" t="s">
        <v>2534</v>
      </c>
      <c r="Q182" s="680">
        <v>336.67839999999967</v>
      </c>
      <c r="R182" s="696"/>
      <c r="S182" s="553"/>
      <c r="T182" s="553"/>
      <c r="U182" s="553"/>
      <c r="V182" s="553"/>
      <c r="W182" s="553"/>
      <c r="X182" s="553"/>
      <c r="Y182" s="553"/>
      <c r="Z182" s="553"/>
      <c r="AA182" s="553"/>
      <c r="AB182" s="554"/>
      <c r="AC182" s="555"/>
      <c r="AD182" s="556"/>
      <c r="AE182" s="556"/>
      <c r="AF182" s="556"/>
      <c r="AG182" s="556"/>
    </row>
    <row r="183" spans="1:33" s="427" customFormat="1">
      <c r="A183" s="585">
        <v>169</v>
      </c>
      <c r="B183" s="587" t="s">
        <v>2637</v>
      </c>
      <c r="C183" s="585">
        <v>169</v>
      </c>
      <c r="D183" s="629" t="s">
        <v>2290</v>
      </c>
      <c r="E183" s="586" t="s">
        <v>2430</v>
      </c>
      <c r="F183" s="675">
        <v>4.8639700000000001E-2</v>
      </c>
      <c r="G183" s="676">
        <v>3463.0023344000001</v>
      </c>
      <c r="H183" s="588">
        <v>487.2</v>
      </c>
      <c r="I183" s="587" t="s">
        <v>601</v>
      </c>
      <c r="J183" s="585">
        <v>2</v>
      </c>
      <c r="K183" s="585" t="s">
        <v>661</v>
      </c>
      <c r="L183" s="678">
        <v>348</v>
      </c>
      <c r="M183" s="649" t="s">
        <v>2533</v>
      </c>
      <c r="N183" s="679">
        <v>121.62599999999989</v>
      </c>
      <c r="O183" s="679">
        <v>243.24040000000008</v>
      </c>
      <c r="P183" s="589" t="s">
        <v>2534</v>
      </c>
      <c r="Q183" s="680">
        <v>336.67839999999967</v>
      </c>
      <c r="R183" s="696"/>
      <c r="S183" s="553"/>
      <c r="T183" s="553"/>
      <c r="U183" s="553"/>
      <c r="V183" s="553"/>
      <c r="W183" s="553"/>
      <c r="X183" s="553"/>
      <c r="Y183" s="553"/>
      <c r="Z183" s="553"/>
      <c r="AA183" s="553"/>
      <c r="AB183" s="554"/>
      <c r="AC183" s="555"/>
      <c r="AD183" s="556"/>
      <c r="AE183" s="556"/>
      <c r="AF183" s="556"/>
      <c r="AG183" s="556"/>
    </row>
    <row r="184" spans="1:33" s="427" customFormat="1">
      <c r="A184" s="585">
        <v>170</v>
      </c>
      <c r="B184" s="587" t="s">
        <v>2638</v>
      </c>
      <c r="C184" s="585">
        <v>170</v>
      </c>
      <c r="D184" s="629" t="s">
        <v>2290</v>
      </c>
      <c r="E184" s="586" t="s">
        <v>2431</v>
      </c>
      <c r="F184" s="675">
        <v>4.2430799999999998E-2</v>
      </c>
      <c r="G184" s="676">
        <v>2538.48</v>
      </c>
      <c r="H184" s="588">
        <v>487.2</v>
      </c>
      <c r="I184" s="587" t="s">
        <v>549</v>
      </c>
      <c r="J184" s="585">
        <v>1</v>
      </c>
      <c r="K184" s="585" t="s">
        <v>662</v>
      </c>
      <c r="L184" s="678">
        <v>348</v>
      </c>
      <c r="M184" s="649" t="s">
        <v>2533</v>
      </c>
      <c r="N184" s="679">
        <v>67.071199999999919</v>
      </c>
      <c r="O184" s="679">
        <v>134.15400000000011</v>
      </c>
      <c r="P184" s="589" t="s">
        <v>2534</v>
      </c>
      <c r="Q184" s="680">
        <v>336.67839999999967</v>
      </c>
      <c r="R184" s="696"/>
      <c r="S184" s="553"/>
      <c r="T184" s="553"/>
      <c r="U184" s="553"/>
      <c r="V184" s="553"/>
      <c r="W184" s="553"/>
      <c r="X184" s="553"/>
      <c r="Y184" s="553"/>
      <c r="Z184" s="553"/>
      <c r="AA184" s="553"/>
      <c r="AB184" s="554"/>
      <c r="AC184" s="555"/>
      <c r="AD184" s="556"/>
      <c r="AE184" s="556"/>
      <c r="AF184" s="556"/>
      <c r="AG184" s="556"/>
    </row>
    <row r="185" spans="1:33" s="427" customFormat="1">
      <c r="A185" s="585">
        <v>171</v>
      </c>
      <c r="B185" s="587" t="s">
        <v>2639</v>
      </c>
      <c r="C185" s="585">
        <v>171</v>
      </c>
      <c r="D185" s="629" t="s">
        <v>2290</v>
      </c>
      <c r="E185" s="586" t="s">
        <v>2432</v>
      </c>
      <c r="F185" s="675">
        <v>3.9334799999999996E-2</v>
      </c>
      <c r="G185" s="676">
        <v>2538.48</v>
      </c>
      <c r="H185" s="588">
        <v>487.2</v>
      </c>
      <c r="I185" s="587" t="s">
        <v>549</v>
      </c>
      <c r="J185" s="585">
        <v>1</v>
      </c>
      <c r="K185" s="585" t="s">
        <v>663</v>
      </c>
      <c r="L185" s="678">
        <v>348</v>
      </c>
      <c r="M185" s="649" t="s">
        <v>2533</v>
      </c>
      <c r="N185" s="679">
        <v>67.071199999999919</v>
      </c>
      <c r="O185" s="679">
        <v>134.15400000000011</v>
      </c>
      <c r="P185" s="589" t="s">
        <v>2534</v>
      </c>
      <c r="Q185" s="680">
        <v>336.67839999999967</v>
      </c>
      <c r="R185" s="696"/>
      <c r="S185" s="553"/>
      <c r="T185" s="553"/>
      <c r="U185" s="553"/>
      <c r="V185" s="553"/>
      <c r="W185" s="553"/>
      <c r="X185" s="553"/>
      <c r="Y185" s="553"/>
      <c r="Z185" s="553"/>
      <c r="AA185" s="553"/>
      <c r="AB185" s="554"/>
      <c r="AC185" s="555"/>
      <c r="AD185" s="556"/>
      <c r="AE185" s="556"/>
      <c r="AF185" s="556"/>
      <c r="AG185" s="556"/>
    </row>
    <row r="186" spans="1:33" s="427" customFormat="1">
      <c r="A186" s="585">
        <v>172</v>
      </c>
      <c r="B186" s="587" t="s">
        <v>2640</v>
      </c>
      <c r="C186" s="585">
        <v>172</v>
      </c>
      <c r="D186" s="629" t="s">
        <v>2290</v>
      </c>
      <c r="E186" s="586" t="s">
        <v>2433</v>
      </c>
      <c r="F186" s="675">
        <v>3.9334799999999996E-2</v>
      </c>
      <c r="G186" s="676">
        <v>2538.48</v>
      </c>
      <c r="H186" s="588">
        <v>487.2</v>
      </c>
      <c r="I186" s="587" t="s">
        <v>549</v>
      </c>
      <c r="J186" s="585">
        <v>1</v>
      </c>
      <c r="K186" s="585" t="s">
        <v>664</v>
      </c>
      <c r="L186" s="678">
        <v>348</v>
      </c>
      <c r="M186" s="649" t="s">
        <v>2533</v>
      </c>
      <c r="N186" s="679">
        <v>67.071199999999919</v>
      </c>
      <c r="O186" s="679">
        <v>134.15400000000011</v>
      </c>
      <c r="P186" s="589" t="s">
        <v>2534</v>
      </c>
      <c r="Q186" s="680">
        <v>336.67839999999967</v>
      </c>
      <c r="R186" s="696"/>
      <c r="S186" s="553"/>
      <c r="T186" s="553"/>
      <c r="U186" s="553"/>
      <c r="V186" s="553"/>
      <c r="W186" s="553"/>
      <c r="X186" s="553"/>
      <c r="Y186" s="553"/>
      <c r="Z186" s="553"/>
      <c r="AA186" s="553"/>
      <c r="AB186" s="554"/>
      <c r="AC186" s="555"/>
      <c r="AD186" s="556"/>
      <c r="AE186" s="556"/>
      <c r="AF186" s="556"/>
      <c r="AG186" s="556"/>
    </row>
    <row r="187" spans="1:33" s="427" customFormat="1">
      <c r="A187" s="585">
        <v>173</v>
      </c>
      <c r="B187" s="587" t="s">
        <v>2641</v>
      </c>
      <c r="C187" s="585">
        <v>173</v>
      </c>
      <c r="D187" s="629" t="s">
        <v>2290</v>
      </c>
      <c r="E187" s="586" t="s">
        <v>2434</v>
      </c>
      <c r="F187" s="675">
        <v>3.9334799999999996E-2</v>
      </c>
      <c r="G187" s="676">
        <v>2538.48</v>
      </c>
      <c r="H187" s="588">
        <v>487.2</v>
      </c>
      <c r="I187" s="587" t="s">
        <v>549</v>
      </c>
      <c r="J187" s="585">
        <v>1</v>
      </c>
      <c r="K187" s="585" t="s">
        <v>665</v>
      </c>
      <c r="L187" s="678">
        <v>348</v>
      </c>
      <c r="M187" s="649" t="s">
        <v>2533</v>
      </c>
      <c r="N187" s="679">
        <v>67.071199999999919</v>
      </c>
      <c r="O187" s="679">
        <v>134.15400000000011</v>
      </c>
      <c r="P187" s="589" t="s">
        <v>2534</v>
      </c>
      <c r="Q187" s="680">
        <v>336.67839999999967</v>
      </c>
      <c r="R187" s="696"/>
      <c r="S187" s="553"/>
      <c r="T187" s="553"/>
      <c r="U187" s="553"/>
      <c r="V187" s="553"/>
      <c r="W187" s="553"/>
      <c r="X187" s="553"/>
      <c r="Y187" s="553"/>
      <c r="Z187" s="553"/>
      <c r="AA187" s="553"/>
      <c r="AB187" s="554"/>
      <c r="AC187" s="555"/>
      <c r="AD187" s="556"/>
      <c r="AE187" s="556"/>
      <c r="AF187" s="556"/>
      <c r="AG187" s="556"/>
    </row>
    <row r="188" spans="1:33" s="427" customFormat="1">
      <c r="A188" s="585">
        <v>174</v>
      </c>
      <c r="B188" s="587" t="s">
        <v>2642</v>
      </c>
      <c r="C188" s="585">
        <v>174</v>
      </c>
      <c r="D188" s="629" t="s">
        <v>2290</v>
      </c>
      <c r="E188" s="586" t="s">
        <v>2435</v>
      </c>
      <c r="F188" s="675">
        <v>3.9334799999999996E-2</v>
      </c>
      <c r="G188" s="676">
        <v>2538.48</v>
      </c>
      <c r="H188" s="588">
        <v>487.2</v>
      </c>
      <c r="I188" s="587" t="s">
        <v>549</v>
      </c>
      <c r="J188" s="585">
        <v>1</v>
      </c>
      <c r="K188" s="585" t="s">
        <v>666</v>
      </c>
      <c r="L188" s="678">
        <v>348</v>
      </c>
      <c r="M188" s="649" t="s">
        <v>2533</v>
      </c>
      <c r="N188" s="679">
        <v>67.071199999999919</v>
      </c>
      <c r="O188" s="679">
        <v>134.15400000000011</v>
      </c>
      <c r="P188" s="589" t="s">
        <v>2534</v>
      </c>
      <c r="Q188" s="680">
        <v>336.67839999999967</v>
      </c>
      <c r="R188" s="696"/>
      <c r="S188" s="553"/>
      <c r="T188" s="553"/>
      <c r="U188" s="553"/>
      <c r="V188" s="553"/>
      <c r="W188" s="553"/>
      <c r="X188" s="553"/>
      <c r="Y188" s="553"/>
      <c r="Z188" s="553"/>
      <c r="AA188" s="553"/>
      <c r="AB188" s="554"/>
      <c r="AC188" s="555"/>
      <c r="AD188" s="556"/>
      <c r="AE188" s="556"/>
      <c r="AF188" s="556"/>
      <c r="AG188" s="556"/>
    </row>
    <row r="189" spans="1:33" s="427" customFormat="1">
      <c r="A189" s="585">
        <v>175</v>
      </c>
      <c r="B189" s="587" t="s">
        <v>2643</v>
      </c>
      <c r="C189" s="585">
        <v>175</v>
      </c>
      <c r="D189" s="629" t="s">
        <v>2290</v>
      </c>
      <c r="E189" s="586" t="s">
        <v>2436</v>
      </c>
      <c r="F189" s="675">
        <v>4.2430799999999998E-2</v>
      </c>
      <c r="G189" s="676">
        <v>2538.48</v>
      </c>
      <c r="H189" s="588">
        <v>487.2</v>
      </c>
      <c r="I189" s="587" t="s">
        <v>549</v>
      </c>
      <c r="J189" s="585">
        <v>1</v>
      </c>
      <c r="K189" s="585" t="s">
        <v>667</v>
      </c>
      <c r="L189" s="678">
        <v>348</v>
      </c>
      <c r="M189" s="649" t="s">
        <v>2533</v>
      </c>
      <c r="N189" s="679">
        <v>67.071199999999919</v>
      </c>
      <c r="O189" s="679">
        <v>134.15400000000011</v>
      </c>
      <c r="P189" s="589" t="s">
        <v>2534</v>
      </c>
      <c r="Q189" s="680">
        <v>336.67839999999967</v>
      </c>
      <c r="R189" s="696"/>
      <c r="S189" s="553"/>
      <c r="T189" s="553"/>
      <c r="U189" s="553"/>
      <c r="V189" s="553"/>
      <c r="W189" s="553"/>
      <c r="X189" s="553"/>
      <c r="Y189" s="553"/>
      <c r="Z189" s="553"/>
      <c r="AA189" s="553"/>
      <c r="AB189" s="554"/>
      <c r="AC189" s="555"/>
      <c r="AD189" s="556"/>
      <c r="AE189" s="556"/>
      <c r="AF189" s="556"/>
      <c r="AG189" s="556"/>
    </row>
    <row r="190" spans="1:33" s="427" customFormat="1">
      <c r="A190" s="585">
        <v>176</v>
      </c>
      <c r="B190" s="587" t="s">
        <v>2644</v>
      </c>
      <c r="C190" s="585">
        <v>176</v>
      </c>
      <c r="D190" s="629" t="s">
        <v>2290</v>
      </c>
      <c r="E190" s="586" t="s">
        <v>2437</v>
      </c>
      <c r="F190" s="675">
        <v>3.6001999999999999E-2</v>
      </c>
      <c r="G190" s="676">
        <v>2538.48</v>
      </c>
      <c r="H190" s="588">
        <v>487.2</v>
      </c>
      <c r="I190" s="587" t="s">
        <v>549</v>
      </c>
      <c r="J190" s="585">
        <v>1</v>
      </c>
      <c r="K190" s="585" t="s">
        <v>668</v>
      </c>
      <c r="L190" s="678">
        <v>348</v>
      </c>
      <c r="M190" s="649" t="s">
        <v>2533</v>
      </c>
      <c r="N190" s="679">
        <v>67.071199999999919</v>
      </c>
      <c r="O190" s="679">
        <v>134.15400000000011</v>
      </c>
      <c r="P190" s="589" t="s">
        <v>2534</v>
      </c>
      <c r="Q190" s="680">
        <v>336.67839999999967</v>
      </c>
      <c r="R190" s="696"/>
      <c r="S190" s="553"/>
      <c r="T190" s="553"/>
      <c r="U190" s="553"/>
      <c r="V190" s="553"/>
      <c r="W190" s="553"/>
      <c r="X190" s="553"/>
      <c r="Y190" s="553"/>
      <c r="Z190" s="553"/>
      <c r="AA190" s="553"/>
      <c r="AB190" s="554"/>
      <c r="AC190" s="555"/>
      <c r="AD190" s="556"/>
      <c r="AE190" s="556"/>
      <c r="AF190" s="556"/>
      <c r="AG190" s="556"/>
    </row>
    <row r="191" spans="1:33" s="427" customFormat="1">
      <c r="A191" s="585">
        <v>177</v>
      </c>
      <c r="B191" s="587" t="s">
        <v>2645</v>
      </c>
      <c r="C191" s="585">
        <v>177</v>
      </c>
      <c r="D191" s="629" t="s">
        <v>2290</v>
      </c>
      <c r="E191" s="586" t="s">
        <v>2438</v>
      </c>
      <c r="F191" s="675">
        <v>3.6001999999999999E-2</v>
      </c>
      <c r="G191" s="676">
        <v>2538.48</v>
      </c>
      <c r="H191" s="588">
        <v>487.2</v>
      </c>
      <c r="I191" s="587" t="s">
        <v>549</v>
      </c>
      <c r="J191" s="585">
        <v>1</v>
      </c>
      <c r="K191" s="585" t="s">
        <v>669</v>
      </c>
      <c r="L191" s="678">
        <v>348</v>
      </c>
      <c r="M191" s="649" t="s">
        <v>2533</v>
      </c>
      <c r="N191" s="679">
        <v>67.071199999999919</v>
      </c>
      <c r="O191" s="679">
        <v>134.15400000000011</v>
      </c>
      <c r="P191" s="589" t="s">
        <v>2534</v>
      </c>
      <c r="Q191" s="680">
        <v>336.67839999999967</v>
      </c>
      <c r="R191" s="696"/>
      <c r="S191" s="553"/>
      <c r="T191" s="553"/>
      <c r="U191" s="553"/>
      <c r="V191" s="553"/>
      <c r="W191" s="553"/>
      <c r="X191" s="553"/>
      <c r="Y191" s="553"/>
      <c r="Z191" s="553"/>
      <c r="AA191" s="553"/>
      <c r="AB191" s="554"/>
      <c r="AC191" s="555"/>
      <c r="AD191" s="556"/>
      <c r="AE191" s="556"/>
      <c r="AF191" s="556"/>
      <c r="AG191" s="556"/>
    </row>
    <row r="192" spans="1:33" s="427" customFormat="1">
      <c r="A192" s="585">
        <v>178</v>
      </c>
      <c r="B192" s="587" t="s">
        <v>2646</v>
      </c>
      <c r="C192" s="585">
        <v>178</v>
      </c>
      <c r="D192" s="629" t="s">
        <v>2290</v>
      </c>
      <c r="E192" s="586" t="s">
        <v>2439</v>
      </c>
      <c r="F192" s="675">
        <v>3.6001999999999999E-2</v>
      </c>
      <c r="G192" s="676">
        <v>2538.48</v>
      </c>
      <c r="H192" s="588">
        <v>487.2</v>
      </c>
      <c r="I192" s="587" t="s">
        <v>549</v>
      </c>
      <c r="J192" s="585">
        <v>1</v>
      </c>
      <c r="K192" s="585" t="s">
        <v>670</v>
      </c>
      <c r="L192" s="678">
        <v>348</v>
      </c>
      <c r="M192" s="649" t="s">
        <v>2533</v>
      </c>
      <c r="N192" s="679">
        <v>67.071199999999919</v>
      </c>
      <c r="O192" s="679">
        <v>134.15400000000011</v>
      </c>
      <c r="P192" s="589" t="s">
        <v>2534</v>
      </c>
      <c r="Q192" s="680">
        <v>336.67839999999967</v>
      </c>
      <c r="R192" s="696"/>
      <c r="S192" s="553"/>
      <c r="T192" s="553"/>
      <c r="U192" s="553"/>
      <c r="V192" s="553"/>
      <c r="W192" s="553"/>
      <c r="X192" s="553"/>
      <c r="Y192" s="553"/>
      <c r="Z192" s="553"/>
      <c r="AA192" s="553"/>
      <c r="AB192" s="554"/>
      <c r="AC192" s="555"/>
      <c r="AD192" s="556"/>
      <c r="AE192" s="556"/>
      <c r="AF192" s="556"/>
      <c r="AG192" s="556"/>
    </row>
    <row r="193" spans="1:33" s="427" customFormat="1">
      <c r="A193" s="585">
        <v>179</v>
      </c>
      <c r="B193" s="587" t="s">
        <v>2647</v>
      </c>
      <c r="C193" s="585">
        <v>179</v>
      </c>
      <c r="D193" s="629" t="s">
        <v>2290</v>
      </c>
      <c r="E193" s="586" t="s">
        <v>2440</v>
      </c>
      <c r="F193" s="675">
        <v>3.9334799999999996E-2</v>
      </c>
      <c r="G193" s="676">
        <v>2538.48</v>
      </c>
      <c r="H193" s="588">
        <v>487.2</v>
      </c>
      <c r="I193" s="587" t="s">
        <v>549</v>
      </c>
      <c r="J193" s="585">
        <v>1</v>
      </c>
      <c r="K193" s="585" t="s">
        <v>671</v>
      </c>
      <c r="L193" s="678">
        <v>348</v>
      </c>
      <c r="M193" s="649" t="s">
        <v>2533</v>
      </c>
      <c r="N193" s="679">
        <v>67.071199999999919</v>
      </c>
      <c r="O193" s="679">
        <v>134.15400000000011</v>
      </c>
      <c r="P193" s="589" t="s">
        <v>2534</v>
      </c>
      <c r="Q193" s="680">
        <v>336.67839999999967</v>
      </c>
      <c r="R193" s="696"/>
      <c r="S193" s="553"/>
      <c r="T193" s="553"/>
      <c r="U193" s="553"/>
      <c r="V193" s="553"/>
      <c r="W193" s="553"/>
      <c r="X193" s="553"/>
      <c r="Y193" s="553"/>
      <c r="Z193" s="553"/>
      <c r="AA193" s="553"/>
      <c r="AB193" s="554"/>
      <c r="AC193" s="555"/>
      <c r="AD193" s="556"/>
      <c r="AE193" s="556"/>
      <c r="AF193" s="556"/>
      <c r="AG193" s="556"/>
    </row>
    <row r="194" spans="1:33" s="427" customFormat="1">
      <c r="A194" s="585">
        <v>180</v>
      </c>
      <c r="B194" s="587" t="s">
        <v>2648</v>
      </c>
      <c r="C194" s="585">
        <v>180</v>
      </c>
      <c r="D194" s="629" t="s">
        <v>2290</v>
      </c>
      <c r="E194" s="586" t="s">
        <v>2441</v>
      </c>
      <c r="F194" s="675">
        <v>3.9334799999999996E-2</v>
      </c>
      <c r="G194" s="676">
        <v>2538.48</v>
      </c>
      <c r="H194" s="588">
        <v>487.2</v>
      </c>
      <c r="I194" s="587" t="s">
        <v>549</v>
      </c>
      <c r="J194" s="585">
        <v>1</v>
      </c>
      <c r="K194" s="585" t="s">
        <v>672</v>
      </c>
      <c r="L194" s="678">
        <v>348</v>
      </c>
      <c r="M194" s="649" t="s">
        <v>2533</v>
      </c>
      <c r="N194" s="679">
        <v>67.071199999999919</v>
      </c>
      <c r="O194" s="679">
        <v>134.15400000000011</v>
      </c>
      <c r="P194" s="589" t="s">
        <v>2534</v>
      </c>
      <c r="Q194" s="680">
        <v>336.67839999999967</v>
      </c>
      <c r="R194" s="696"/>
      <c r="S194" s="553"/>
      <c r="T194" s="553"/>
      <c r="U194" s="553"/>
      <c r="V194" s="553"/>
      <c r="W194" s="553"/>
      <c r="X194" s="553"/>
      <c r="Y194" s="553"/>
      <c r="Z194" s="553"/>
      <c r="AA194" s="553"/>
      <c r="AB194" s="554"/>
      <c r="AC194" s="555"/>
      <c r="AD194" s="556"/>
      <c r="AE194" s="556"/>
      <c r="AF194" s="556"/>
      <c r="AG194" s="556"/>
    </row>
    <row r="195" spans="1:33" s="427" customFormat="1">
      <c r="A195" s="585">
        <v>181</v>
      </c>
      <c r="B195" s="587" t="s">
        <v>2649</v>
      </c>
      <c r="C195" s="585">
        <v>181</v>
      </c>
      <c r="D195" s="629" t="s">
        <v>2290</v>
      </c>
      <c r="E195" s="586" t="s">
        <v>2442</v>
      </c>
      <c r="F195" s="675">
        <v>5.1864600000000004E-2</v>
      </c>
      <c r="G195" s="676">
        <v>3463.0023344000001</v>
      </c>
      <c r="H195" s="588">
        <v>487.2</v>
      </c>
      <c r="I195" s="587" t="s">
        <v>601</v>
      </c>
      <c r="J195" s="585">
        <v>2</v>
      </c>
      <c r="K195" s="585" t="s">
        <v>673</v>
      </c>
      <c r="L195" s="678">
        <v>348</v>
      </c>
      <c r="M195" s="649" t="s">
        <v>2533</v>
      </c>
      <c r="N195" s="679">
        <v>121.62599999999989</v>
      </c>
      <c r="O195" s="679">
        <v>243.24040000000008</v>
      </c>
      <c r="P195" s="589" t="s">
        <v>2534</v>
      </c>
      <c r="Q195" s="680">
        <v>336.67839999999967</v>
      </c>
      <c r="R195" s="696"/>
      <c r="S195" s="553"/>
      <c r="T195" s="553"/>
      <c r="U195" s="553"/>
      <c r="V195" s="553"/>
      <c r="W195" s="553"/>
      <c r="X195" s="553"/>
      <c r="Y195" s="553"/>
      <c r="Z195" s="553"/>
      <c r="AA195" s="553"/>
      <c r="AB195" s="554"/>
      <c r="AC195" s="555"/>
      <c r="AD195" s="556"/>
      <c r="AE195" s="556"/>
      <c r="AF195" s="556"/>
      <c r="AG195" s="556"/>
    </row>
    <row r="196" spans="1:33" s="427" customFormat="1">
      <c r="A196" s="585">
        <v>182</v>
      </c>
      <c r="B196" s="587" t="s">
        <v>2650</v>
      </c>
      <c r="C196" s="585">
        <v>182</v>
      </c>
      <c r="D196" s="629" t="s">
        <v>2290</v>
      </c>
      <c r="E196" s="586" t="s">
        <v>2443</v>
      </c>
      <c r="F196" s="675">
        <v>5.1864600000000004E-2</v>
      </c>
      <c r="G196" s="676">
        <v>3463.0023344000001</v>
      </c>
      <c r="H196" s="588">
        <v>487.2</v>
      </c>
      <c r="I196" s="587" t="s">
        <v>601</v>
      </c>
      <c r="J196" s="585">
        <v>2</v>
      </c>
      <c r="K196" s="585" t="s">
        <v>674</v>
      </c>
      <c r="L196" s="678">
        <v>348</v>
      </c>
      <c r="M196" s="649" t="s">
        <v>2533</v>
      </c>
      <c r="N196" s="679">
        <v>121.62599999999989</v>
      </c>
      <c r="O196" s="679">
        <v>243.24040000000008</v>
      </c>
      <c r="P196" s="589" t="s">
        <v>2534</v>
      </c>
      <c r="Q196" s="680">
        <v>336.67839999999967</v>
      </c>
      <c r="R196" s="696"/>
      <c r="S196" s="553"/>
      <c r="T196" s="553"/>
      <c r="U196" s="553"/>
      <c r="V196" s="553"/>
      <c r="W196" s="553"/>
      <c r="X196" s="553"/>
      <c r="Y196" s="553"/>
      <c r="Z196" s="553"/>
      <c r="AA196" s="553"/>
      <c r="AB196" s="554"/>
      <c r="AC196" s="555"/>
      <c r="AD196" s="556"/>
      <c r="AE196" s="556"/>
      <c r="AF196" s="556"/>
      <c r="AG196" s="556"/>
    </row>
    <row r="197" spans="1:33" s="427" customFormat="1">
      <c r="A197" s="585">
        <v>183</v>
      </c>
      <c r="B197" s="587" t="s">
        <v>3314</v>
      </c>
      <c r="C197" s="585">
        <v>183</v>
      </c>
      <c r="D197" s="629" t="s">
        <v>2290</v>
      </c>
      <c r="E197" s="586" t="s">
        <v>3333</v>
      </c>
      <c r="F197" s="675">
        <v>3.4903099999999999E-2</v>
      </c>
      <c r="G197" s="676">
        <v>2538.48</v>
      </c>
      <c r="H197" s="588">
        <v>487.2</v>
      </c>
      <c r="I197" s="587" t="s">
        <v>549</v>
      </c>
      <c r="J197" s="585">
        <v>1</v>
      </c>
      <c r="K197" s="585" t="s">
        <v>3321</v>
      </c>
      <c r="L197" s="678">
        <v>348</v>
      </c>
      <c r="M197" s="649" t="s">
        <v>2533</v>
      </c>
      <c r="N197" s="679">
        <v>67.071199999999919</v>
      </c>
      <c r="O197" s="679">
        <v>134.15400000000011</v>
      </c>
      <c r="P197" s="589" t="s">
        <v>2534</v>
      </c>
      <c r="Q197" s="680">
        <v>336.67839999999967</v>
      </c>
      <c r="R197" s="696"/>
      <c r="S197" s="553"/>
      <c r="T197" s="553"/>
      <c r="U197" s="553"/>
      <c r="V197" s="553"/>
      <c r="W197" s="553"/>
      <c r="X197" s="553"/>
      <c r="Y197" s="553"/>
      <c r="Z197" s="553"/>
      <c r="AA197" s="553"/>
      <c r="AB197" s="554"/>
      <c r="AC197" s="555"/>
      <c r="AD197" s="556"/>
      <c r="AE197" s="556"/>
      <c r="AF197" s="556"/>
      <c r="AG197" s="556"/>
    </row>
    <row r="198" spans="1:33" s="427" customFormat="1">
      <c r="A198" s="585">
        <v>184</v>
      </c>
      <c r="B198" s="587" t="s">
        <v>3540</v>
      </c>
      <c r="C198" s="585">
        <v>184</v>
      </c>
      <c r="D198" s="629" t="s">
        <v>3714</v>
      </c>
      <c r="E198" s="586" t="s">
        <v>3715</v>
      </c>
      <c r="F198" s="675">
        <v>3.4204199999999997E-2</v>
      </c>
      <c r="G198" s="676">
        <v>2538.48</v>
      </c>
      <c r="H198" s="588">
        <v>487.2</v>
      </c>
      <c r="I198" s="587" t="s">
        <v>549</v>
      </c>
      <c r="J198" s="585">
        <v>1</v>
      </c>
      <c r="K198" s="585" t="s">
        <v>3626</v>
      </c>
      <c r="L198" s="678">
        <v>348</v>
      </c>
      <c r="M198" s="649" t="s">
        <v>2533</v>
      </c>
      <c r="N198" s="679">
        <v>67.071199999999919</v>
      </c>
      <c r="O198" s="679">
        <v>134.154</v>
      </c>
      <c r="P198" s="589" t="s">
        <v>2534</v>
      </c>
      <c r="Q198" s="680">
        <v>336.67839999999967</v>
      </c>
      <c r="R198" s="696"/>
      <c r="S198" s="553"/>
      <c r="T198" s="553"/>
      <c r="U198" s="553"/>
      <c r="V198" s="553"/>
      <c r="W198" s="553"/>
      <c r="X198" s="553"/>
      <c r="Y198" s="553"/>
      <c r="Z198" s="553"/>
      <c r="AA198" s="553"/>
      <c r="AB198" s="554"/>
      <c r="AC198" s="555"/>
      <c r="AD198" s="556"/>
      <c r="AE198" s="556"/>
      <c r="AF198" s="556"/>
      <c r="AG198" s="556"/>
    </row>
    <row r="199" spans="1:33" s="427" customFormat="1">
      <c r="A199" s="585">
        <v>185</v>
      </c>
      <c r="B199" s="587" t="s">
        <v>3541</v>
      </c>
      <c r="C199" s="585">
        <v>185</v>
      </c>
      <c r="D199" s="629" t="s">
        <v>3714</v>
      </c>
      <c r="E199" s="586" t="s">
        <v>3716</v>
      </c>
      <c r="F199" s="675">
        <v>3.4204199999999997E-2</v>
      </c>
      <c r="G199" s="676">
        <v>2538.48</v>
      </c>
      <c r="H199" s="588">
        <v>487.2</v>
      </c>
      <c r="I199" s="587" t="s">
        <v>549</v>
      </c>
      <c r="J199" s="585">
        <v>1</v>
      </c>
      <c r="K199" s="585" t="s">
        <v>3627</v>
      </c>
      <c r="L199" s="678">
        <v>348</v>
      </c>
      <c r="M199" s="649" t="s">
        <v>2533</v>
      </c>
      <c r="N199" s="679">
        <v>67.071199999999919</v>
      </c>
      <c r="O199" s="679">
        <v>134.154</v>
      </c>
      <c r="P199" s="589" t="s">
        <v>2534</v>
      </c>
      <c r="Q199" s="680">
        <v>336.67839999999967</v>
      </c>
      <c r="R199" s="696"/>
      <c r="S199" s="553"/>
      <c r="T199" s="553"/>
      <c r="U199" s="553"/>
      <c r="V199" s="553"/>
      <c r="W199" s="553"/>
      <c r="X199" s="553"/>
      <c r="Y199" s="553"/>
      <c r="Z199" s="553"/>
      <c r="AA199" s="553"/>
      <c r="AB199" s="554"/>
      <c r="AC199" s="555"/>
      <c r="AD199" s="556"/>
      <c r="AE199" s="556"/>
      <c r="AF199" s="556"/>
      <c r="AG199" s="556"/>
    </row>
    <row r="200" spans="1:33" s="427" customFormat="1">
      <c r="A200" s="585">
        <v>186</v>
      </c>
      <c r="B200" s="587" t="s">
        <v>3542</v>
      </c>
      <c r="C200" s="585">
        <v>186</v>
      </c>
      <c r="D200" s="629" t="s">
        <v>3714</v>
      </c>
      <c r="E200" s="586" t="s">
        <v>3717</v>
      </c>
      <c r="F200" s="675">
        <v>4.98392E-2</v>
      </c>
      <c r="G200" s="676">
        <v>3463.0023344000001</v>
      </c>
      <c r="H200" s="588">
        <v>487.2</v>
      </c>
      <c r="I200" s="587" t="s">
        <v>601</v>
      </c>
      <c r="J200" s="585">
        <v>2</v>
      </c>
      <c r="K200" s="585" t="s">
        <v>3628</v>
      </c>
      <c r="L200" s="678">
        <v>348</v>
      </c>
      <c r="M200" s="649" t="s">
        <v>2533</v>
      </c>
      <c r="N200" s="679">
        <v>121.62599999999989</v>
      </c>
      <c r="O200" s="679">
        <v>243.24039999999999</v>
      </c>
      <c r="P200" s="589" t="s">
        <v>2534</v>
      </c>
      <c r="Q200" s="680">
        <v>336.67839999999967</v>
      </c>
      <c r="R200" s="696"/>
      <c r="S200" s="553"/>
      <c r="T200" s="553"/>
      <c r="U200" s="553"/>
      <c r="V200" s="553"/>
      <c r="W200" s="553"/>
      <c r="X200" s="553"/>
      <c r="Y200" s="553"/>
      <c r="Z200" s="553"/>
      <c r="AA200" s="553"/>
      <c r="AB200" s="554"/>
      <c r="AC200" s="555"/>
      <c r="AD200" s="556"/>
      <c r="AE200" s="556"/>
      <c r="AF200" s="556"/>
      <c r="AG200" s="556"/>
    </row>
    <row r="201" spans="1:33" s="427" customFormat="1">
      <c r="A201" s="585">
        <v>187</v>
      </c>
      <c r="B201" s="587" t="s">
        <v>3543</v>
      </c>
      <c r="C201" s="585">
        <v>187</v>
      </c>
      <c r="D201" s="629" t="s">
        <v>3714</v>
      </c>
      <c r="E201" s="586" t="s">
        <v>3718</v>
      </c>
      <c r="F201" s="675">
        <v>4.5890199999999999E-2</v>
      </c>
      <c r="G201" s="676">
        <v>2538.48</v>
      </c>
      <c r="H201" s="588">
        <v>487.2</v>
      </c>
      <c r="I201" s="587" t="s">
        <v>549</v>
      </c>
      <c r="J201" s="585">
        <v>1</v>
      </c>
      <c r="K201" s="585" t="s">
        <v>3629</v>
      </c>
      <c r="L201" s="678">
        <v>348</v>
      </c>
      <c r="M201" s="649" t="s">
        <v>2533</v>
      </c>
      <c r="N201" s="679">
        <v>67.071199999999919</v>
      </c>
      <c r="O201" s="679">
        <v>134.154</v>
      </c>
      <c r="P201" s="589" t="s">
        <v>2534</v>
      </c>
      <c r="Q201" s="680">
        <v>336.67839999999967</v>
      </c>
      <c r="R201" s="696"/>
      <c r="S201" s="553"/>
      <c r="T201" s="553"/>
      <c r="U201" s="553"/>
      <c r="V201" s="553"/>
      <c r="W201" s="553"/>
      <c r="X201" s="553"/>
      <c r="Y201" s="553"/>
      <c r="Z201" s="553"/>
      <c r="AA201" s="553"/>
      <c r="AB201" s="554"/>
      <c r="AC201" s="555"/>
      <c r="AD201" s="556"/>
      <c r="AE201" s="556"/>
      <c r="AF201" s="556"/>
      <c r="AG201" s="556"/>
    </row>
    <row r="202" spans="1:33" s="427" customFormat="1">
      <c r="A202" s="585">
        <v>188</v>
      </c>
      <c r="B202" s="587" t="s">
        <v>3544</v>
      </c>
      <c r="C202" s="585">
        <v>188</v>
      </c>
      <c r="D202" s="629" t="s">
        <v>3714</v>
      </c>
      <c r="E202" s="586" t="s">
        <v>3719</v>
      </c>
      <c r="F202" s="675">
        <v>5.0835400000000003E-2</v>
      </c>
      <c r="G202" s="676">
        <v>2538.48</v>
      </c>
      <c r="H202" s="588">
        <v>487.2</v>
      </c>
      <c r="I202" s="587" t="s">
        <v>549</v>
      </c>
      <c r="J202" s="585">
        <v>1</v>
      </c>
      <c r="K202" s="585" t="s">
        <v>3630</v>
      </c>
      <c r="L202" s="678">
        <v>348</v>
      </c>
      <c r="M202" s="649" t="s">
        <v>2533</v>
      </c>
      <c r="N202" s="679">
        <v>67.071199999999919</v>
      </c>
      <c r="O202" s="679">
        <v>134.154</v>
      </c>
      <c r="P202" s="589" t="s">
        <v>2534</v>
      </c>
      <c r="Q202" s="680">
        <v>336.67839999999967</v>
      </c>
      <c r="R202" s="696"/>
      <c r="S202" s="553"/>
      <c r="T202" s="553"/>
      <c r="U202" s="553"/>
      <c r="V202" s="553"/>
      <c r="W202" s="553"/>
      <c r="X202" s="553"/>
      <c r="Y202" s="553"/>
      <c r="Z202" s="553"/>
      <c r="AA202" s="553"/>
      <c r="AB202" s="554"/>
      <c r="AC202" s="555"/>
      <c r="AD202" s="556"/>
      <c r="AE202" s="556"/>
      <c r="AF202" s="556"/>
      <c r="AG202" s="556"/>
    </row>
    <row r="203" spans="1:33" s="427" customFormat="1">
      <c r="A203" s="585">
        <v>189</v>
      </c>
      <c r="B203" s="587" t="s">
        <v>3545</v>
      </c>
      <c r="C203" s="585">
        <v>189</v>
      </c>
      <c r="D203" s="629" t="s">
        <v>3714</v>
      </c>
      <c r="E203" s="586" t="s">
        <v>3720</v>
      </c>
      <c r="F203" s="675">
        <v>5.3913900000000001E-2</v>
      </c>
      <c r="G203" s="676">
        <v>2538.48</v>
      </c>
      <c r="H203" s="588">
        <v>487.2</v>
      </c>
      <c r="I203" s="587" t="s">
        <v>549</v>
      </c>
      <c r="J203" s="585">
        <v>1</v>
      </c>
      <c r="K203" s="585" t="s">
        <v>3631</v>
      </c>
      <c r="L203" s="678">
        <v>348</v>
      </c>
      <c r="M203" s="649" t="s">
        <v>2533</v>
      </c>
      <c r="N203" s="679">
        <v>67.071199999999919</v>
      </c>
      <c r="O203" s="679">
        <v>134.154</v>
      </c>
      <c r="P203" s="589" t="s">
        <v>2534</v>
      </c>
      <c r="Q203" s="680">
        <v>336.67839999999967</v>
      </c>
      <c r="R203" s="696"/>
      <c r="S203" s="553"/>
      <c r="T203" s="553"/>
      <c r="U203" s="553"/>
      <c r="V203" s="553"/>
      <c r="W203" s="553"/>
      <c r="X203" s="553"/>
      <c r="Y203" s="553"/>
      <c r="Z203" s="553"/>
      <c r="AA203" s="553"/>
      <c r="AB203" s="554"/>
      <c r="AC203" s="555"/>
      <c r="AD203" s="556"/>
      <c r="AE203" s="556"/>
      <c r="AF203" s="556"/>
      <c r="AG203" s="556"/>
    </row>
    <row r="204" spans="1:33" s="427" customFormat="1">
      <c r="A204" s="585">
        <v>190</v>
      </c>
      <c r="B204" s="587" t="s">
        <v>3546</v>
      </c>
      <c r="C204" s="585">
        <v>190</v>
      </c>
      <c r="D204" s="629" t="s">
        <v>3714</v>
      </c>
      <c r="E204" s="586" t="s">
        <v>3721</v>
      </c>
      <c r="F204" s="675">
        <v>5.4598800000000003E-2</v>
      </c>
      <c r="G204" s="676">
        <v>2538.48</v>
      </c>
      <c r="H204" s="588">
        <v>487.2</v>
      </c>
      <c r="I204" s="587" t="s">
        <v>549</v>
      </c>
      <c r="J204" s="585">
        <v>1</v>
      </c>
      <c r="K204" s="585" t="s">
        <v>3632</v>
      </c>
      <c r="L204" s="678">
        <v>348</v>
      </c>
      <c r="M204" s="649" t="s">
        <v>2533</v>
      </c>
      <c r="N204" s="679">
        <v>67.071199999999919</v>
      </c>
      <c r="O204" s="679">
        <v>134.154</v>
      </c>
      <c r="P204" s="589" t="s">
        <v>2534</v>
      </c>
      <c r="Q204" s="680">
        <v>336.67839999999967</v>
      </c>
      <c r="R204" s="696"/>
      <c r="S204" s="553"/>
      <c r="T204" s="553"/>
      <c r="U204" s="553"/>
      <c r="V204" s="553"/>
      <c r="W204" s="553"/>
      <c r="X204" s="553"/>
      <c r="Y204" s="553"/>
      <c r="Z204" s="553"/>
      <c r="AA204" s="553"/>
      <c r="AB204" s="554"/>
      <c r="AC204" s="555"/>
      <c r="AD204" s="556"/>
      <c r="AE204" s="556"/>
      <c r="AF204" s="556"/>
      <c r="AG204" s="556"/>
    </row>
    <row r="205" spans="1:33" s="427" customFormat="1">
      <c r="A205" s="585">
        <v>191</v>
      </c>
      <c r="B205" s="587" t="s">
        <v>3547</v>
      </c>
      <c r="C205" s="585">
        <v>191</v>
      </c>
      <c r="D205" s="629" t="s">
        <v>3714</v>
      </c>
      <c r="E205" s="586" t="s">
        <v>3722</v>
      </c>
      <c r="F205" s="675">
        <v>4.4738499999999994E-2</v>
      </c>
      <c r="G205" s="676">
        <v>2538.48</v>
      </c>
      <c r="H205" s="588">
        <v>487.2</v>
      </c>
      <c r="I205" s="587" t="s">
        <v>549</v>
      </c>
      <c r="J205" s="585">
        <v>1</v>
      </c>
      <c r="K205" s="585" t="s">
        <v>3633</v>
      </c>
      <c r="L205" s="678">
        <v>348</v>
      </c>
      <c r="M205" s="649" t="s">
        <v>2533</v>
      </c>
      <c r="N205" s="679">
        <v>67.071199999999919</v>
      </c>
      <c r="O205" s="679">
        <v>134.154</v>
      </c>
      <c r="P205" s="589" t="s">
        <v>2534</v>
      </c>
      <c r="Q205" s="680">
        <v>336.67839999999967</v>
      </c>
      <c r="R205" s="696"/>
      <c r="S205" s="553"/>
      <c r="T205" s="553"/>
      <c r="U205" s="553"/>
      <c r="V205" s="553"/>
      <c r="W205" s="553"/>
      <c r="X205" s="553"/>
      <c r="Y205" s="553"/>
      <c r="Z205" s="553"/>
      <c r="AA205" s="553"/>
      <c r="AB205" s="554"/>
      <c r="AC205" s="555"/>
      <c r="AD205" s="556"/>
      <c r="AE205" s="556"/>
      <c r="AF205" s="556"/>
      <c r="AG205" s="556"/>
    </row>
    <row r="206" spans="1:33" s="427" customFormat="1">
      <c r="A206" s="585">
        <v>192</v>
      </c>
      <c r="B206" s="587" t="s">
        <v>3548</v>
      </c>
      <c r="C206" s="585">
        <v>192</v>
      </c>
      <c r="D206" s="629" t="s">
        <v>3714</v>
      </c>
      <c r="E206" s="586" t="s">
        <v>3723</v>
      </c>
      <c r="F206" s="675">
        <v>4.7998700000000005E-2</v>
      </c>
      <c r="G206" s="676">
        <v>3463.0023344000001</v>
      </c>
      <c r="H206" s="588">
        <v>487.2</v>
      </c>
      <c r="I206" s="587" t="s">
        <v>601</v>
      </c>
      <c r="J206" s="585">
        <v>2</v>
      </c>
      <c r="K206" s="585" t="s">
        <v>3634</v>
      </c>
      <c r="L206" s="678">
        <v>348</v>
      </c>
      <c r="M206" s="649" t="s">
        <v>2533</v>
      </c>
      <c r="N206" s="679">
        <v>121.62599999999989</v>
      </c>
      <c r="O206" s="679">
        <v>243.24039999999999</v>
      </c>
      <c r="P206" s="589" t="s">
        <v>2534</v>
      </c>
      <c r="Q206" s="680">
        <v>336.67839999999967</v>
      </c>
      <c r="R206" s="696"/>
      <c r="S206" s="553"/>
      <c r="T206" s="553"/>
      <c r="U206" s="553"/>
      <c r="V206" s="553"/>
      <c r="W206" s="553"/>
      <c r="X206" s="553"/>
      <c r="Y206" s="553"/>
      <c r="Z206" s="553"/>
      <c r="AA206" s="553"/>
      <c r="AB206" s="554"/>
      <c r="AC206" s="555"/>
      <c r="AD206" s="556"/>
      <c r="AE206" s="556"/>
      <c r="AF206" s="556"/>
      <c r="AG206" s="556"/>
    </row>
    <row r="207" spans="1:33" s="427" customFormat="1">
      <c r="A207" s="585">
        <v>193</v>
      </c>
      <c r="B207" s="587" t="s">
        <v>5133</v>
      </c>
      <c r="C207" s="585">
        <v>193</v>
      </c>
      <c r="D207" s="629" t="s">
        <v>3714</v>
      </c>
      <c r="E207" s="586" t="s">
        <v>5145</v>
      </c>
      <c r="F207" s="675">
        <v>4.73815E-2</v>
      </c>
      <c r="G207" s="676">
        <v>3463.0023344000001</v>
      </c>
      <c r="H207" s="588">
        <v>487.2</v>
      </c>
      <c r="I207" s="587" t="s">
        <v>601</v>
      </c>
      <c r="J207" s="585">
        <v>2</v>
      </c>
      <c r="K207" s="585" t="s">
        <v>5157</v>
      </c>
      <c r="L207" s="678">
        <v>348</v>
      </c>
      <c r="M207" s="649" t="s">
        <v>2533</v>
      </c>
      <c r="N207" s="679">
        <v>121.62599999999989</v>
      </c>
      <c r="O207" s="679">
        <v>243.24040000000008</v>
      </c>
      <c r="P207" s="589" t="s">
        <v>2534</v>
      </c>
      <c r="Q207" s="680">
        <v>336.67839999999967</v>
      </c>
      <c r="R207" s="696"/>
      <c r="S207" s="553"/>
      <c r="T207" s="553"/>
      <c r="U207" s="553"/>
      <c r="V207" s="553"/>
      <c r="W207" s="553"/>
      <c r="X207" s="553"/>
      <c r="Y207" s="553"/>
      <c r="Z207" s="553"/>
      <c r="AA207" s="553"/>
      <c r="AB207" s="554"/>
      <c r="AC207" s="555"/>
      <c r="AD207" s="556"/>
      <c r="AE207" s="556"/>
      <c r="AF207" s="556"/>
      <c r="AG207" s="556"/>
    </row>
    <row r="208" spans="1:33" s="427" customFormat="1">
      <c r="A208" s="585">
        <v>194</v>
      </c>
      <c r="B208" s="587" t="s">
        <v>3549</v>
      </c>
      <c r="C208" s="585">
        <v>194</v>
      </c>
      <c r="D208" s="629" t="s">
        <v>3714</v>
      </c>
      <c r="E208" s="586" t="s">
        <v>3724</v>
      </c>
      <c r="F208" s="675">
        <v>4.3541200000000002E-2</v>
      </c>
      <c r="G208" s="676">
        <v>2538.48</v>
      </c>
      <c r="H208" s="588">
        <v>487.2</v>
      </c>
      <c r="I208" s="587" t="s">
        <v>549</v>
      </c>
      <c r="J208" s="585">
        <v>1</v>
      </c>
      <c r="K208" s="585" t="s">
        <v>3635</v>
      </c>
      <c r="L208" s="678">
        <v>348</v>
      </c>
      <c r="M208" s="649" t="s">
        <v>2533</v>
      </c>
      <c r="N208" s="679">
        <v>67.071199999999919</v>
      </c>
      <c r="O208" s="679">
        <v>134.154</v>
      </c>
      <c r="P208" s="589" t="s">
        <v>2534</v>
      </c>
      <c r="Q208" s="680">
        <v>336.67839999999967</v>
      </c>
      <c r="R208" s="696"/>
      <c r="S208" s="553"/>
      <c r="T208" s="553"/>
      <c r="U208" s="553"/>
      <c r="V208" s="553"/>
      <c r="W208" s="553"/>
      <c r="X208" s="553"/>
      <c r="Y208" s="553"/>
      <c r="Z208" s="553"/>
      <c r="AA208" s="553"/>
      <c r="AB208" s="554"/>
      <c r="AC208" s="555"/>
      <c r="AD208" s="556"/>
      <c r="AE208" s="556"/>
      <c r="AF208" s="556"/>
      <c r="AG208" s="556"/>
    </row>
    <row r="209" spans="1:33" s="427" customFormat="1">
      <c r="A209" s="585">
        <v>195</v>
      </c>
      <c r="B209" s="587" t="s">
        <v>3550</v>
      </c>
      <c r="C209" s="585">
        <v>195</v>
      </c>
      <c r="D209" s="629" t="s">
        <v>3714</v>
      </c>
      <c r="E209" s="586" t="s">
        <v>3725</v>
      </c>
      <c r="F209" s="675">
        <v>4.2483599999999996E-2</v>
      </c>
      <c r="G209" s="676">
        <v>2538.48</v>
      </c>
      <c r="H209" s="588">
        <v>487.2</v>
      </c>
      <c r="I209" s="587" t="s">
        <v>549</v>
      </c>
      <c r="J209" s="585">
        <v>1</v>
      </c>
      <c r="K209" s="585" t="s">
        <v>3636</v>
      </c>
      <c r="L209" s="678">
        <v>348</v>
      </c>
      <c r="M209" s="649" t="s">
        <v>2533</v>
      </c>
      <c r="N209" s="679">
        <v>67.071199999999919</v>
      </c>
      <c r="O209" s="679">
        <v>134.154</v>
      </c>
      <c r="P209" s="589" t="s">
        <v>2534</v>
      </c>
      <c r="Q209" s="680">
        <v>336.67839999999967</v>
      </c>
      <c r="R209" s="696"/>
      <c r="S209" s="553"/>
      <c r="T209" s="553"/>
      <c r="U209" s="553"/>
      <c r="V209" s="553"/>
      <c r="W209" s="553"/>
      <c r="X209" s="553"/>
      <c r="Y209" s="553"/>
      <c r="Z209" s="553"/>
      <c r="AA209" s="553"/>
      <c r="AB209" s="554"/>
      <c r="AC209" s="555"/>
      <c r="AD209" s="556"/>
      <c r="AE209" s="556"/>
      <c r="AF209" s="556"/>
      <c r="AG209" s="556"/>
    </row>
    <row r="210" spans="1:33" s="427" customFormat="1">
      <c r="A210" s="585">
        <v>196</v>
      </c>
      <c r="B210" s="587" t="s">
        <v>3551</v>
      </c>
      <c r="C210" s="585">
        <v>196</v>
      </c>
      <c r="D210" s="629" t="s">
        <v>3714</v>
      </c>
      <c r="E210" s="586" t="s">
        <v>3726</v>
      </c>
      <c r="F210" s="675">
        <v>4.761E-2</v>
      </c>
      <c r="G210" s="676">
        <v>2538.48</v>
      </c>
      <c r="H210" s="588">
        <v>487.2</v>
      </c>
      <c r="I210" s="587" t="s">
        <v>549</v>
      </c>
      <c r="J210" s="585">
        <v>1</v>
      </c>
      <c r="K210" s="585" t="s">
        <v>3637</v>
      </c>
      <c r="L210" s="678">
        <v>348</v>
      </c>
      <c r="M210" s="649" t="s">
        <v>2533</v>
      </c>
      <c r="N210" s="679">
        <v>67.071199999999919</v>
      </c>
      <c r="O210" s="679">
        <v>134.154</v>
      </c>
      <c r="P210" s="589" t="s">
        <v>2534</v>
      </c>
      <c r="Q210" s="680">
        <v>336.67839999999967</v>
      </c>
      <c r="R210" s="696"/>
      <c r="S210" s="553"/>
      <c r="T210" s="553"/>
      <c r="U210" s="553"/>
      <c r="V210" s="553"/>
      <c r="W210" s="553"/>
      <c r="X210" s="553"/>
      <c r="Y210" s="553"/>
      <c r="Z210" s="553"/>
      <c r="AA210" s="553"/>
      <c r="AB210" s="554"/>
      <c r="AC210" s="555"/>
      <c r="AD210" s="556"/>
      <c r="AE210" s="556"/>
      <c r="AF210" s="556"/>
      <c r="AG210" s="556"/>
    </row>
    <row r="211" spans="1:33" s="427" customFormat="1">
      <c r="A211" s="585">
        <v>197</v>
      </c>
      <c r="B211" s="587" t="s">
        <v>3552</v>
      </c>
      <c r="C211" s="585">
        <v>197</v>
      </c>
      <c r="D211" s="629" t="s">
        <v>3714</v>
      </c>
      <c r="E211" s="586" t="s">
        <v>3727</v>
      </c>
      <c r="F211" s="675">
        <v>4.22072E-2</v>
      </c>
      <c r="G211" s="676">
        <v>2538.48</v>
      </c>
      <c r="H211" s="588">
        <v>487.2</v>
      </c>
      <c r="I211" s="587" t="s">
        <v>549</v>
      </c>
      <c r="J211" s="585">
        <v>1</v>
      </c>
      <c r="K211" s="585" t="s">
        <v>3638</v>
      </c>
      <c r="L211" s="678">
        <v>348</v>
      </c>
      <c r="M211" s="649" t="s">
        <v>2533</v>
      </c>
      <c r="N211" s="679">
        <v>67.071199999999919</v>
      </c>
      <c r="O211" s="679">
        <v>134.154</v>
      </c>
      <c r="P211" s="589" t="s">
        <v>2534</v>
      </c>
      <c r="Q211" s="680">
        <v>336.67839999999967</v>
      </c>
      <c r="R211" s="696"/>
      <c r="S211" s="553"/>
      <c r="T211" s="553"/>
      <c r="U211" s="553"/>
      <c r="V211" s="553"/>
      <c r="W211" s="553"/>
      <c r="X211" s="553"/>
      <c r="Y211" s="553"/>
      <c r="Z211" s="553"/>
      <c r="AA211" s="553"/>
      <c r="AB211" s="554"/>
      <c r="AC211" s="555"/>
      <c r="AD211" s="556"/>
      <c r="AE211" s="556"/>
      <c r="AF211" s="556"/>
      <c r="AG211" s="556"/>
    </row>
    <row r="212" spans="1:33" s="427" customFormat="1">
      <c r="A212" s="585">
        <v>198</v>
      </c>
      <c r="B212" s="587" t="s">
        <v>3553</v>
      </c>
      <c r="C212" s="585">
        <v>198</v>
      </c>
      <c r="D212" s="629" t="s">
        <v>3714</v>
      </c>
      <c r="E212" s="586" t="s">
        <v>3728</v>
      </c>
      <c r="F212" s="675">
        <v>5.13751E-2</v>
      </c>
      <c r="G212" s="676">
        <v>2538.48</v>
      </c>
      <c r="H212" s="588">
        <v>487.2</v>
      </c>
      <c r="I212" s="587" t="s">
        <v>549</v>
      </c>
      <c r="J212" s="585">
        <v>1</v>
      </c>
      <c r="K212" s="585" t="s">
        <v>3639</v>
      </c>
      <c r="L212" s="678">
        <v>348</v>
      </c>
      <c r="M212" s="649" t="s">
        <v>2533</v>
      </c>
      <c r="N212" s="679">
        <v>67.071199999999919</v>
      </c>
      <c r="O212" s="679">
        <v>134.154</v>
      </c>
      <c r="P212" s="589" t="s">
        <v>2534</v>
      </c>
      <c r="Q212" s="680">
        <v>336.67839999999967</v>
      </c>
      <c r="R212" s="696"/>
      <c r="S212" s="553"/>
      <c r="T212" s="553"/>
      <c r="U212" s="553"/>
      <c r="V212" s="553"/>
      <c r="W212" s="553"/>
      <c r="X212" s="553"/>
      <c r="Y212" s="553"/>
      <c r="Z212" s="553"/>
      <c r="AA212" s="553"/>
      <c r="AB212" s="554"/>
      <c r="AC212" s="555"/>
      <c r="AD212" s="556"/>
      <c r="AE212" s="556"/>
      <c r="AF212" s="556"/>
      <c r="AG212" s="556"/>
    </row>
    <row r="213" spans="1:33" s="427" customFormat="1">
      <c r="A213" s="585">
        <v>199</v>
      </c>
      <c r="B213" s="587" t="s">
        <v>4547</v>
      </c>
      <c r="C213" s="585">
        <v>199</v>
      </c>
      <c r="D213" s="629" t="s">
        <v>3714</v>
      </c>
      <c r="E213" s="586" t="s">
        <v>4558</v>
      </c>
      <c r="F213" s="675">
        <v>4.4601699999999994E-2</v>
      </c>
      <c r="G213" s="676">
        <v>2538.48</v>
      </c>
      <c r="H213" s="588">
        <v>487.2</v>
      </c>
      <c r="I213" s="587" t="s">
        <v>549</v>
      </c>
      <c r="J213" s="585">
        <v>1</v>
      </c>
      <c r="K213" s="585" t="s">
        <v>4329</v>
      </c>
      <c r="L213" s="678">
        <v>348</v>
      </c>
      <c r="M213" s="649" t="s">
        <v>2533</v>
      </c>
      <c r="N213" s="679">
        <v>67.071199999999919</v>
      </c>
      <c r="O213" s="679">
        <v>134.15400000000011</v>
      </c>
      <c r="P213" s="589" t="s">
        <v>2534</v>
      </c>
      <c r="Q213" s="680">
        <v>336.67839999999967</v>
      </c>
      <c r="R213" s="696"/>
      <c r="S213" s="553"/>
      <c r="T213" s="553"/>
      <c r="U213" s="553"/>
      <c r="V213" s="553"/>
      <c r="W213" s="553"/>
      <c r="X213" s="553"/>
      <c r="Y213" s="553"/>
      <c r="Z213" s="553"/>
      <c r="AA213" s="553"/>
      <c r="AB213" s="554"/>
      <c r="AC213" s="555"/>
      <c r="AD213" s="556"/>
      <c r="AE213" s="556"/>
      <c r="AF213" s="556"/>
      <c r="AG213" s="556"/>
    </row>
    <row r="214" spans="1:33" s="427" customFormat="1">
      <c r="A214" s="585">
        <v>200</v>
      </c>
      <c r="B214" s="587" t="s">
        <v>4548</v>
      </c>
      <c r="C214" s="585">
        <v>200</v>
      </c>
      <c r="D214" s="629" t="s">
        <v>3714</v>
      </c>
      <c r="E214" s="586" t="s">
        <v>4559</v>
      </c>
      <c r="F214" s="675">
        <v>4.7998700000000005E-2</v>
      </c>
      <c r="G214" s="676">
        <v>3463.0023344000001</v>
      </c>
      <c r="H214" s="588">
        <v>487.2</v>
      </c>
      <c r="I214" s="587" t="s">
        <v>601</v>
      </c>
      <c r="J214" s="585">
        <v>2</v>
      </c>
      <c r="K214" s="585" t="s">
        <v>4568</v>
      </c>
      <c r="L214" s="678">
        <v>348</v>
      </c>
      <c r="M214" s="649" t="s">
        <v>2533</v>
      </c>
      <c r="N214" s="679">
        <v>121.62599999999989</v>
      </c>
      <c r="O214" s="679">
        <v>243.24039999999999</v>
      </c>
      <c r="P214" s="589" t="s">
        <v>2534</v>
      </c>
      <c r="Q214" s="680">
        <v>336.67839999999967</v>
      </c>
      <c r="R214" s="696"/>
      <c r="S214" s="553"/>
      <c r="T214" s="553"/>
      <c r="U214" s="553"/>
      <c r="V214" s="553"/>
      <c r="W214" s="553"/>
      <c r="X214" s="553"/>
      <c r="Y214" s="553"/>
      <c r="Z214" s="553"/>
      <c r="AA214" s="553"/>
      <c r="AB214" s="554"/>
      <c r="AC214" s="555"/>
      <c r="AD214" s="556"/>
      <c r="AE214" s="556"/>
      <c r="AF214" s="556"/>
      <c r="AG214" s="556"/>
    </row>
    <row r="215" spans="1:33" s="427" customFormat="1">
      <c r="A215" s="585">
        <v>201</v>
      </c>
      <c r="B215" s="587" t="s">
        <v>3554</v>
      </c>
      <c r="C215" s="585">
        <v>201</v>
      </c>
      <c r="D215" s="629" t="s">
        <v>3714</v>
      </c>
      <c r="E215" s="586" t="s">
        <v>3729</v>
      </c>
      <c r="F215" s="675">
        <v>5.6226599999999995E-2</v>
      </c>
      <c r="G215" s="676">
        <v>2538.48</v>
      </c>
      <c r="H215" s="588">
        <v>487.2</v>
      </c>
      <c r="I215" s="587" t="s">
        <v>549</v>
      </c>
      <c r="J215" s="585">
        <v>1</v>
      </c>
      <c r="K215" s="585" t="s">
        <v>3640</v>
      </c>
      <c r="L215" s="678">
        <v>348</v>
      </c>
      <c r="M215" s="649" t="s">
        <v>2533</v>
      </c>
      <c r="N215" s="679">
        <v>67.071199999999919</v>
      </c>
      <c r="O215" s="679">
        <v>134.154</v>
      </c>
      <c r="P215" s="589" t="s">
        <v>2534</v>
      </c>
      <c r="Q215" s="680">
        <v>336.67839999999967</v>
      </c>
      <c r="R215" s="696"/>
      <c r="S215" s="553"/>
      <c r="T215" s="553"/>
      <c r="U215" s="553"/>
      <c r="V215" s="553"/>
      <c r="W215" s="553"/>
      <c r="X215" s="553"/>
      <c r="Y215" s="553"/>
      <c r="Z215" s="553"/>
      <c r="AA215" s="553"/>
      <c r="AB215" s="554"/>
      <c r="AC215" s="555"/>
      <c r="AD215" s="556"/>
      <c r="AE215" s="556"/>
      <c r="AF215" s="556"/>
      <c r="AG215" s="556"/>
    </row>
    <row r="216" spans="1:33" s="427" customFormat="1">
      <c r="A216" s="585">
        <v>202</v>
      </c>
      <c r="B216" s="587" t="s">
        <v>3555</v>
      </c>
      <c r="C216" s="585">
        <v>202</v>
      </c>
      <c r="D216" s="629" t="s">
        <v>3714</v>
      </c>
      <c r="E216" s="586" t="s">
        <v>3730</v>
      </c>
      <c r="F216" s="675">
        <v>4.7143199999999996E-2</v>
      </c>
      <c r="G216" s="676">
        <v>2538.48</v>
      </c>
      <c r="H216" s="588">
        <v>487.2</v>
      </c>
      <c r="I216" s="587" t="s">
        <v>549</v>
      </c>
      <c r="J216" s="585">
        <v>1</v>
      </c>
      <c r="K216" s="585" t="s">
        <v>3641</v>
      </c>
      <c r="L216" s="678">
        <v>348</v>
      </c>
      <c r="M216" s="649" t="s">
        <v>2533</v>
      </c>
      <c r="N216" s="679">
        <v>67.071199999999919</v>
      </c>
      <c r="O216" s="679">
        <v>134.154</v>
      </c>
      <c r="P216" s="589" t="s">
        <v>2534</v>
      </c>
      <c r="Q216" s="680">
        <v>336.67839999999967</v>
      </c>
      <c r="R216" s="696"/>
      <c r="S216" s="553"/>
      <c r="T216" s="553"/>
      <c r="U216" s="553"/>
      <c r="V216" s="553"/>
      <c r="W216" s="553"/>
      <c r="X216" s="553"/>
      <c r="Y216" s="553"/>
      <c r="Z216" s="553"/>
      <c r="AA216" s="553"/>
      <c r="AB216" s="554"/>
      <c r="AC216" s="555"/>
      <c r="AD216" s="556"/>
      <c r="AE216" s="556"/>
      <c r="AF216" s="556"/>
      <c r="AG216" s="556"/>
    </row>
    <row r="217" spans="1:33" s="427" customFormat="1">
      <c r="A217" s="585">
        <v>203</v>
      </c>
      <c r="B217" s="587" t="s">
        <v>3556</v>
      </c>
      <c r="C217" s="585">
        <v>203</v>
      </c>
      <c r="D217" s="629" t="s">
        <v>3714</v>
      </c>
      <c r="E217" s="586" t="s">
        <v>3731</v>
      </c>
      <c r="F217" s="675">
        <v>6.99848E-2</v>
      </c>
      <c r="G217" s="676">
        <v>2538.48</v>
      </c>
      <c r="H217" s="588">
        <v>487.2</v>
      </c>
      <c r="I217" s="587" t="s">
        <v>549</v>
      </c>
      <c r="J217" s="585">
        <v>1</v>
      </c>
      <c r="K217" s="585" t="s">
        <v>3642</v>
      </c>
      <c r="L217" s="678">
        <v>348</v>
      </c>
      <c r="M217" s="649" t="s">
        <v>2533</v>
      </c>
      <c r="N217" s="679">
        <v>67.071199999999919</v>
      </c>
      <c r="O217" s="679">
        <v>134.154</v>
      </c>
      <c r="P217" s="589" t="s">
        <v>2534</v>
      </c>
      <c r="Q217" s="680">
        <v>336.67839999999967</v>
      </c>
      <c r="R217" s="696"/>
      <c r="S217" s="553"/>
      <c r="T217" s="553"/>
      <c r="U217" s="553"/>
      <c r="V217" s="553"/>
      <c r="W217" s="553"/>
      <c r="X217" s="553"/>
      <c r="Y217" s="553"/>
      <c r="Z217" s="553"/>
      <c r="AA217" s="553"/>
      <c r="AB217" s="554"/>
      <c r="AC217" s="555"/>
      <c r="AD217" s="556"/>
      <c r="AE217" s="556"/>
      <c r="AF217" s="556"/>
      <c r="AG217" s="556"/>
    </row>
    <row r="218" spans="1:33" s="427" customFormat="1">
      <c r="A218" s="585">
        <v>204</v>
      </c>
      <c r="B218" s="587" t="s">
        <v>3557</v>
      </c>
      <c r="C218" s="585">
        <v>204</v>
      </c>
      <c r="D218" s="629" t="s">
        <v>3714</v>
      </c>
      <c r="E218" s="586" t="s">
        <v>3732</v>
      </c>
      <c r="F218" s="675">
        <v>6.99848E-2</v>
      </c>
      <c r="G218" s="676">
        <v>2538.48</v>
      </c>
      <c r="H218" s="588">
        <v>487.2</v>
      </c>
      <c r="I218" s="587" t="s">
        <v>549</v>
      </c>
      <c r="J218" s="585">
        <v>1</v>
      </c>
      <c r="K218" s="585" t="s">
        <v>3643</v>
      </c>
      <c r="L218" s="678">
        <v>348</v>
      </c>
      <c r="M218" s="649" t="s">
        <v>2533</v>
      </c>
      <c r="N218" s="679">
        <v>67.071199999999919</v>
      </c>
      <c r="O218" s="679">
        <v>134.154</v>
      </c>
      <c r="P218" s="589" t="s">
        <v>2534</v>
      </c>
      <c r="Q218" s="680">
        <v>336.67839999999967</v>
      </c>
      <c r="R218" s="696"/>
      <c r="S218" s="553"/>
      <c r="T218" s="553"/>
      <c r="U218" s="553"/>
      <c r="V218" s="553"/>
      <c r="W218" s="553"/>
      <c r="X218" s="553"/>
      <c r="Y218" s="553"/>
      <c r="Z218" s="553"/>
      <c r="AA218" s="553"/>
      <c r="AB218" s="554"/>
      <c r="AC218" s="555"/>
      <c r="AD218" s="556"/>
      <c r="AE218" s="556"/>
      <c r="AF218" s="556"/>
      <c r="AG218" s="556"/>
    </row>
    <row r="219" spans="1:33" s="427" customFormat="1">
      <c r="A219" s="585">
        <v>205</v>
      </c>
      <c r="B219" s="587" t="s">
        <v>3558</v>
      </c>
      <c r="C219" s="585">
        <v>205</v>
      </c>
      <c r="D219" s="629" t="s">
        <v>3714</v>
      </c>
      <c r="E219" s="586" t="s">
        <v>3733</v>
      </c>
      <c r="F219" s="675">
        <v>4.73815E-2</v>
      </c>
      <c r="G219" s="676">
        <v>3463.0023344000001</v>
      </c>
      <c r="H219" s="588">
        <v>487.2</v>
      </c>
      <c r="I219" s="587" t="s">
        <v>601</v>
      </c>
      <c r="J219" s="585">
        <v>2</v>
      </c>
      <c r="K219" s="585" t="s">
        <v>3644</v>
      </c>
      <c r="L219" s="678">
        <v>348</v>
      </c>
      <c r="M219" s="649" t="s">
        <v>2533</v>
      </c>
      <c r="N219" s="679">
        <v>121.62599999999989</v>
      </c>
      <c r="O219" s="679">
        <v>243.24039999999999</v>
      </c>
      <c r="P219" s="589" t="s">
        <v>2534</v>
      </c>
      <c r="Q219" s="680">
        <v>336.67839999999967</v>
      </c>
      <c r="R219" s="696"/>
      <c r="S219" s="553"/>
      <c r="T219" s="553"/>
      <c r="U219" s="553"/>
      <c r="V219" s="553"/>
      <c r="W219" s="553"/>
      <c r="X219" s="553"/>
      <c r="Y219" s="553"/>
      <c r="Z219" s="553"/>
      <c r="AA219" s="553"/>
      <c r="AB219" s="554"/>
      <c r="AC219" s="555"/>
      <c r="AD219" s="556"/>
      <c r="AE219" s="556"/>
      <c r="AF219" s="556"/>
      <c r="AG219" s="556"/>
    </row>
    <row r="220" spans="1:33" s="427" customFormat="1">
      <c r="A220" s="585">
        <v>206</v>
      </c>
      <c r="B220" s="587" t="s">
        <v>3559</v>
      </c>
      <c r="C220" s="585">
        <v>206</v>
      </c>
      <c r="D220" s="629" t="s">
        <v>3714</v>
      </c>
      <c r="E220" s="586" t="s">
        <v>2444</v>
      </c>
      <c r="F220" s="675">
        <v>4.7998700000000005E-2</v>
      </c>
      <c r="G220" s="676">
        <v>3463.0023344000001</v>
      </c>
      <c r="H220" s="588">
        <v>487.2</v>
      </c>
      <c r="I220" s="587" t="s">
        <v>601</v>
      </c>
      <c r="J220" s="585">
        <v>2</v>
      </c>
      <c r="K220" s="585" t="s">
        <v>3645</v>
      </c>
      <c r="L220" s="678">
        <v>348</v>
      </c>
      <c r="M220" s="649" t="s">
        <v>2533</v>
      </c>
      <c r="N220" s="679">
        <v>121.62599999999989</v>
      </c>
      <c r="O220" s="679">
        <v>243.24039999999999</v>
      </c>
      <c r="P220" s="589" t="s">
        <v>2534</v>
      </c>
      <c r="Q220" s="680">
        <v>336.67839999999967</v>
      </c>
      <c r="R220" s="696"/>
      <c r="S220" s="553"/>
      <c r="T220" s="553"/>
      <c r="U220" s="553"/>
      <c r="V220" s="553"/>
      <c r="W220" s="553"/>
      <c r="X220" s="553"/>
      <c r="Y220" s="553"/>
      <c r="Z220" s="553"/>
      <c r="AA220" s="553"/>
      <c r="AB220" s="554"/>
      <c r="AC220" s="555"/>
      <c r="AD220" s="556"/>
      <c r="AE220" s="556"/>
      <c r="AF220" s="556"/>
      <c r="AG220" s="556"/>
    </row>
    <row r="221" spans="1:33" s="427" customFormat="1">
      <c r="A221" s="585">
        <v>207</v>
      </c>
      <c r="B221" s="587" t="s">
        <v>3560</v>
      </c>
      <c r="C221" s="585">
        <v>207</v>
      </c>
      <c r="D221" s="629" t="s">
        <v>3714</v>
      </c>
      <c r="E221" s="586" t="s">
        <v>3734</v>
      </c>
      <c r="F221" s="675">
        <v>4.73815E-2</v>
      </c>
      <c r="G221" s="676">
        <v>3463.0023344000001</v>
      </c>
      <c r="H221" s="588">
        <v>487.2</v>
      </c>
      <c r="I221" s="587" t="s">
        <v>601</v>
      </c>
      <c r="J221" s="585">
        <v>2</v>
      </c>
      <c r="K221" s="585" t="s">
        <v>3646</v>
      </c>
      <c r="L221" s="678">
        <v>348</v>
      </c>
      <c r="M221" s="649" t="s">
        <v>2533</v>
      </c>
      <c r="N221" s="679">
        <v>121.62599999999989</v>
      </c>
      <c r="O221" s="679">
        <v>243.24039999999999</v>
      </c>
      <c r="P221" s="589" t="s">
        <v>2534</v>
      </c>
      <c r="Q221" s="680">
        <v>336.67839999999967</v>
      </c>
      <c r="R221" s="696"/>
      <c r="S221" s="553"/>
      <c r="T221" s="553"/>
      <c r="U221" s="553"/>
      <c r="V221" s="553"/>
      <c r="W221" s="553"/>
      <c r="X221" s="553"/>
      <c r="Y221" s="553"/>
      <c r="Z221" s="553"/>
      <c r="AA221" s="553"/>
      <c r="AB221" s="554"/>
      <c r="AC221" s="555"/>
      <c r="AD221" s="556"/>
      <c r="AE221" s="556"/>
      <c r="AF221" s="556"/>
      <c r="AG221" s="556"/>
    </row>
    <row r="222" spans="1:33" s="427" customFormat="1">
      <c r="A222" s="585">
        <v>208</v>
      </c>
      <c r="B222" s="587" t="s">
        <v>3561</v>
      </c>
      <c r="C222" s="585">
        <v>208</v>
      </c>
      <c r="D222" s="629" t="s">
        <v>3714</v>
      </c>
      <c r="E222" s="586" t="s">
        <v>3735</v>
      </c>
      <c r="F222" s="675">
        <v>4.73815E-2</v>
      </c>
      <c r="G222" s="676">
        <v>3463.0023344000001</v>
      </c>
      <c r="H222" s="588">
        <v>487.2</v>
      </c>
      <c r="I222" s="587" t="s">
        <v>601</v>
      </c>
      <c r="J222" s="585">
        <v>2</v>
      </c>
      <c r="K222" s="585" t="s">
        <v>3647</v>
      </c>
      <c r="L222" s="678">
        <v>348</v>
      </c>
      <c r="M222" s="649" t="s">
        <v>2533</v>
      </c>
      <c r="N222" s="679">
        <v>121.62599999999989</v>
      </c>
      <c r="O222" s="679">
        <v>243.24039999999999</v>
      </c>
      <c r="P222" s="589" t="s">
        <v>2534</v>
      </c>
      <c r="Q222" s="680">
        <v>336.67839999999967</v>
      </c>
      <c r="R222" s="696"/>
      <c r="S222" s="553"/>
      <c r="T222" s="553"/>
      <c r="U222" s="553"/>
      <c r="V222" s="553"/>
      <c r="W222" s="553"/>
      <c r="X222" s="553"/>
      <c r="Y222" s="553"/>
      <c r="Z222" s="553"/>
      <c r="AA222" s="553"/>
      <c r="AB222" s="554"/>
      <c r="AC222" s="555"/>
      <c r="AD222" s="556"/>
      <c r="AE222" s="556"/>
      <c r="AF222" s="556"/>
      <c r="AG222" s="556"/>
    </row>
    <row r="223" spans="1:33" s="427" customFormat="1">
      <c r="A223" s="585">
        <v>209</v>
      </c>
      <c r="B223" s="587" t="s">
        <v>3562</v>
      </c>
      <c r="C223" s="585">
        <v>209</v>
      </c>
      <c r="D223" s="629" t="s">
        <v>3714</v>
      </c>
      <c r="E223" s="586" t="s">
        <v>3736</v>
      </c>
      <c r="F223" s="675">
        <v>4.73815E-2</v>
      </c>
      <c r="G223" s="676">
        <v>3463.0023344000001</v>
      </c>
      <c r="H223" s="588">
        <v>487.2</v>
      </c>
      <c r="I223" s="587" t="s">
        <v>601</v>
      </c>
      <c r="J223" s="585">
        <v>2</v>
      </c>
      <c r="K223" s="585" t="s">
        <v>3648</v>
      </c>
      <c r="L223" s="678">
        <v>348</v>
      </c>
      <c r="M223" s="649" t="s">
        <v>2533</v>
      </c>
      <c r="N223" s="679">
        <v>121.62599999999989</v>
      </c>
      <c r="O223" s="679">
        <v>243.24039999999999</v>
      </c>
      <c r="P223" s="589" t="s">
        <v>2534</v>
      </c>
      <c r="Q223" s="680">
        <v>336.67839999999967</v>
      </c>
      <c r="R223" s="696"/>
      <c r="S223" s="553"/>
      <c r="T223" s="553"/>
      <c r="U223" s="553"/>
      <c r="V223" s="553"/>
      <c r="W223" s="553"/>
      <c r="X223" s="553"/>
      <c r="Y223" s="553"/>
      <c r="Z223" s="553"/>
      <c r="AA223" s="553"/>
      <c r="AB223" s="554"/>
      <c r="AC223" s="555"/>
      <c r="AD223" s="556"/>
      <c r="AE223" s="556"/>
      <c r="AF223" s="556"/>
      <c r="AG223" s="556"/>
    </row>
    <row r="224" spans="1:33" s="427" customFormat="1">
      <c r="A224" s="585">
        <v>210</v>
      </c>
      <c r="B224" s="587" t="s">
        <v>3563</v>
      </c>
      <c r="C224" s="585">
        <v>210</v>
      </c>
      <c r="D224" s="629" t="s">
        <v>3714</v>
      </c>
      <c r="E224" s="586" t="s">
        <v>3737</v>
      </c>
      <c r="F224" s="675">
        <v>4.3264899999999995E-2</v>
      </c>
      <c r="G224" s="676">
        <v>3463.0023344000001</v>
      </c>
      <c r="H224" s="588">
        <v>487.2</v>
      </c>
      <c r="I224" s="587" t="s">
        <v>601</v>
      </c>
      <c r="J224" s="585">
        <v>2</v>
      </c>
      <c r="K224" s="585" t="s">
        <v>3649</v>
      </c>
      <c r="L224" s="678">
        <v>348</v>
      </c>
      <c r="M224" s="649" t="s">
        <v>2533</v>
      </c>
      <c r="N224" s="679">
        <v>121.62599999999989</v>
      </c>
      <c r="O224" s="679">
        <v>243.24039999999999</v>
      </c>
      <c r="P224" s="589" t="s">
        <v>2534</v>
      </c>
      <c r="Q224" s="680">
        <v>336.67839999999967</v>
      </c>
      <c r="R224" s="696"/>
      <c r="S224" s="553"/>
      <c r="T224" s="553"/>
      <c r="U224" s="553"/>
      <c r="V224" s="553"/>
      <c r="W224" s="553"/>
      <c r="X224" s="553"/>
      <c r="Y224" s="553"/>
      <c r="Z224" s="553"/>
      <c r="AA224" s="553"/>
      <c r="AB224" s="554"/>
      <c r="AC224" s="555"/>
      <c r="AD224" s="556"/>
      <c r="AE224" s="556"/>
      <c r="AF224" s="556"/>
      <c r="AG224" s="556"/>
    </row>
    <row r="225" spans="1:33" s="427" customFormat="1">
      <c r="A225" s="585">
        <v>211</v>
      </c>
      <c r="B225" s="587" t="s">
        <v>3564</v>
      </c>
      <c r="C225" s="585">
        <v>211</v>
      </c>
      <c r="D225" s="629" t="s">
        <v>3714</v>
      </c>
      <c r="E225" s="586" t="s">
        <v>3738</v>
      </c>
      <c r="F225" s="675">
        <v>4.73815E-2</v>
      </c>
      <c r="G225" s="676">
        <v>3463.0023344000001</v>
      </c>
      <c r="H225" s="588">
        <v>487.2</v>
      </c>
      <c r="I225" s="587" t="s">
        <v>601</v>
      </c>
      <c r="J225" s="585">
        <v>2</v>
      </c>
      <c r="K225" s="585" t="s">
        <v>3650</v>
      </c>
      <c r="L225" s="678">
        <v>348</v>
      </c>
      <c r="M225" s="649" t="s">
        <v>2533</v>
      </c>
      <c r="N225" s="679">
        <v>121.62599999999989</v>
      </c>
      <c r="O225" s="679">
        <v>243.24039999999999</v>
      </c>
      <c r="P225" s="589" t="s">
        <v>2534</v>
      </c>
      <c r="Q225" s="680">
        <v>336.67839999999967</v>
      </c>
      <c r="R225" s="696"/>
      <c r="S225" s="553"/>
      <c r="T225" s="553"/>
      <c r="U225" s="553"/>
      <c r="V225" s="553"/>
      <c r="W225" s="553"/>
      <c r="X225" s="553"/>
      <c r="Y225" s="553"/>
      <c r="Z225" s="553"/>
      <c r="AA225" s="553"/>
      <c r="AB225" s="554"/>
      <c r="AC225" s="555"/>
      <c r="AD225" s="556"/>
      <c r="AE225" s="556"/>
      <c r="AF225" s="556"/>
      <c r="AG225" s="556"/>
    </row>
    <row r="226" spans="1:33" s="427" customFormat="1">
      <c r="A226" s="585">
        <v>212</v>
      </c>
      <c r="B226" s="587" t="s">
        <v>3565</v>
      </c>
      <c r="C226" s="585">
        <v>212</v>
      </c>
      <c r="D226" s="629" t="s">
        <v>3714</v>
      </c>
      <c r="E226" s="586" t="s">
        <v>3739</v>
      </c>
      <c r="F226" s="675">
        <v>4.3264899999999995E-2</v>
      </c>
      <c r="G226" s="676">
        <v>3463.0023344000001</v>
      </c>
      <c r="H226" s="588">
        <v>487.2</v>
      </c>
      <c r="I226" s="587" t="s">
        <v>601</v>
      </c>
      <c r="J226" s="585">
        <v>2</v>
      </c>
      <c r="K226" s="585" t="s">
        <v>3651</v>
      </c>
      <c r="L226" s="678">
        <v>348</v>
      </c>
      <c r="M226" s="649" t="s">
        <v>2533</v>
      </c>
      <c r="N226" s="679">
        <v>121.62599999999989</v>
      </c>
      <c r="O226" s="679">
        <v>243.24039999999999</v>
      </c>
      <c r="P226" s="589" t="s">
        <v>2534</v>
      </c>
      <c r="Q226" s="680">
        <v>336.67839999999967</v>
      </c>
      <c r="R226" s="696"/>
      <c r="S226" s="553"/>
      <c r="T226" s="553"/>
      <c r="U226" s="553"/>
      <c r="V226" s="553"/>
      <c r="W226" s="553"/>
      <c r="X226" s="553"/>
      <c r="Y226" s="553"/>
      <c r="Z226" s="553"/>
      <c r="AA226" s="553"/>
      <c r="AB226" s="554"/>
      <c r="AC226" s="555"/>
      <c r="AD226" s="556"/>
      <c r="AE226" s="556"/>
      <c r="AF226" s="556"/>
      <c r="AG226" s="556"/>
    </row>
    <row r="227" spans="1:33" s="427" customFormat="1">
      <c r="A227" s="585">
        <v>213</v>
      </c>
      <c r="B227" s="587" t="s">
        <v>3566</v>
      </c>
      <c r="C227" s="585">
        <v>213</v>
      </c>
      <c r="D227" s="629" t="s">
        <v>3714</v>
      </c>
      <c r="E227" s="586" t="s">
        <v>3740</v>
      </c>
      <c r="F227" s="675">
        <v>4.3264899999999995E-2</v>
      </c>
      <c r="G227" s="676">
        <v>3463.0023344000001</v>
      </c>
      <c r="H227" s="588">
        <v>487.2</v>
      </c>
      <c r="I227" s="587" t="s">
        <v>601</v>
      </c>
      <c r="J227" s="585">
        <v>2</v>
      </c>
      <c r="K227" s="585" t="s">
        <v>3652</v>
      </c>
      <c r="L227" s="678">
        <v>348</v>
      </c>
      <c r="M227" s="649" t="s">
        <v>2533</v>
      </c>
      <c r="N227" s="679">
        <v>121.62599999999989</v>
      </c>
      <c r="O227" s="679">
        <v>243.24039999999999</v>
      </c>
      <c r="P227" s="589" t="s">
        <v>2534</v>
      </c>
      <c r="Q227" s="680">
        <v>336.67839999999967</v>
      </c>
      <c r="R227" s="696"/>
      <c r="S227" s="553"/>
      <c r="T227" s="553"/>
      <c r="U227" s="553"/>
      <c r="V227" s="553"/>
      <c r="W227" s="553"/>
      <c r="X227" s="553"/>
      <c r="Y227" s="553"/>
      <c r="Z227" s="553"/>
      <c r="AA227" s="553"/>
      <c r="AB227" s="554"/>
      <c r="AC227" s="555"/>
      <c r="AD227" s="556"/>
      <c r="AE227" s="556"/>
      <c r="AF227" s="556"/>
      <c r="AG227" s="556"/>
    </row>
    <row r="228" spans="1:33" s="427" customFormat="1">
      <c r="A228" s="585">
        <v>214</v>
      </c>
      <c r="B228" s="587" t="s">
        <v>3567</v>
      </c>
      <c r="C228" s="585">
        <v>214</v>
      </c>
      <c r="D228" s="629" t="s">
        <v>3714</v>
      </c>
      <c r="E228" s="586" t="s">
        <v>3741</v>
      </c>
      <c r="F228" s="675">
        <v>5.0015700000000003E-2</v>
      </c>
      <c r="G228" s="676">
        <v>3463.0023344000001</v>
      </c>
      <c r="H228" s="588">
        <v>487.2</v>
      </c>
      <c r="I228" s="587" t="s">
        <v>601</v>
      </c>
      <c r="J228" s="585">
        <v>2</v>
      </c>
      <c r="K228" s="585" t="s">
        <v>3653</v>
      </c>
      <c r="L228" s="678">
        <v>348</v>
      </c>
      <c r="M228" s="649" t="s">
        <v>2533</v>
      </c>
      <c r="N228" s="679">
        <v>121.62599999999989</v>
      </c>
      <c r="O228" s="679">
        <v>243.24039999999999</v>
      </c>
      <c r="P228" s="589" t="s">
        <v>2534</v>
      </c>
      <c r="Q228" s="680">
        <v>336.67839999999967</v>
      </c>
      <c r="R228" s="696"/>
      <c r="S228" s="553"/>
      <c r="T228" s="553"/>
      <c r="U228" s="553"/>
      <c r="V228" s="553"/>
      <c r="W228" s="553"/>
      <c r="X228" s="553"/>
      <c r="Y228" s="553"/>
      <c r="Z228" s="553"/>
      <c r="AA228" s="553"/>
      <c r="AB228" s="554"/>
      <c r="AC228" s="555"/>
      <c r="AD228" s="556"/>
      <c r="AE228" s="556"/>
      <c r="AF228" s="556"/>
      <c r="AG228" s="556"/>
    </row>
    <row r="229" spans="1:33" s="427" customFormat="1">
      <c r="A229" s="585">
        <v>215</v>
      </c>
      <c r="B229" s="587" t="s">
        <v>3568</v>
      </c>
      <c r="C229" s="585">
        <v>215</v>
      </c>
      <c r="D229" s="629" t="s">
        <v>3714</v>
      </c>
      <c r="E229" s="586" t="s">
        <v>3742</v>
      </c>
      <c r="F229" s="675">
        <v>5.0015700000000003E-2</v>
      </c>
      <c r="G229" s="676">
        <v>3463.0023344000001</v>
      </c>
      <c r="H229" s="588">
        <v>487.2</v>
      </c>
      <c r="I229" s="587" t="s">
        <v>601</v>
      </c>
      <c r="J229" s="585">
        <v>2</v>
      </c>
      <c r="K229" s="585" t="s">
        <v>3654</v>
      </c>
      <c r="L229" s="678">
        <v>348</v>
      </c>
      <c r="M229" s="649" t="s">
        <v>2533</v>
      </c>
      <c r="N229" s="679">
        <v>121.62599999999989</v>
      </c>
      <c r="O229" s="679">
        <v>243.24039999999999</v>
      </c>
      <c r="P229" s="589" t="s">
        <v>2534</v>
      </c>
      <c r="Q229" s="680">
        <v>336.67839999999967</v>
      </c>
      <c r="R229" s="696"/>
      <c r="S229" s="553"/>
      <c r="T229" s="553"/>
      <c r="U229" s="553"/>
      <c r="V229" s="553"/>
      <c r="W229" s="553"/>
      <c r="X229" s="553"/>
      <c r="Y229" s="553"/>
      <c r="Z229" s="553"/>
      <c r="AA229" s="553"/>
      <c r="AB229" s="554"/>
      <c r="AC229" s="555"/>
      <c r="AD229" s="556"/>
      <c r="AE229" s="556"/>
      <c r="AF229" s="556"/>
      <c r="AG229" s="556"/>
    </row>
    <row r="230" spans="1:33" s="427" customFormat="1">
      <c r="A230" s="585">
        <v>216</v>
      </c>
      <c r="B230" s="587" t="s">
        <v>3569</v>
      </c>
      <c r="C230" s="585">
        <v>216</v>
      </c>
      <c r="D230" s="629" t="s">
        <v>3714</v>
      </c>
      <c r="E230" s="586" t="s">
        <v>3743</v>
      </c>
      <c r="F230" s="675">
        <v>5.0015700000000003E-2</v>
      </c>
      <c r="G230" s="676">
        <v>3463.0023344000001</v>
      </c>
      <c r="H230" s="588">
        <v>487.2</v>
      </c>
      <c r="I230" s="587" t="s">
        <v>601</v>
      </c>
      <c r="J230" s="585">
        <v>2</v>
      </c>
      <c r="K230" s="585" t="s">
        <v>3655</v>
      </c>
      <c r="L230" s="678">
        <v>348</v>
      </c>
      <c r="M230" s="649" t="s">
        <v>2533</v>
      </c>
      <c r="N230" s="679">
        <v>121.62599999999989</v>
      </c>
      <c r="O230" s="679">
        <v>243.24039999999999</v>
      </c>
      <c r="P230" s="589" t="s">
        <v>2534</v>
      </c>
      <c r="Q230" s="680">
        <v>336.67839999999967</v>
      </c>
      <c r="R230" s="696"/>
      <c r="S230" s="553"/>
      <c r="T230" s="553"/>
      <c r="U230" s="553"/>
      <c r="V230" s="553"/>
      <c r="W230" s="553"/>
      <c r="X230" s="553"/>
      <c r="Y230" s="553"/>
      <c r="Z230" s="553"/>
      <c r="AA230" s="553"/>
      <c r="AB230" s="554"/>
      <c r="AC230" s="555"/>
      <c r="AD230" s="556"/>
      <c r="AE230" s="556"/>
      <c r="AF230" s="556"/>
      <c r="AG230" s="556"/>
    </row>
    <row r="231" spans="1:33" s="427" customFormat="1">
      <c r="A231" s="585">
        <v>217</v>
      </c>
      <c r="B231" s="587" t="s">
        <v>3570</v>
      </c>
      <c r="C231" s="585">
        <v>217</v>
      </c>
      <c r="D231" s="629" t="s">
        <v>3714</v>
      </c>
      <c r="E231" s="586" t="s">
        <v>3744</v>
      </c>
      <c r="F231" s="675">
        <v>4.7998700000000005E-2</v>
      </c>
      <c r="G231" s="676">
        <v>3463.0023344000001</v>
      </c>
      <c r="H231" s="588">
        <v>487.2</v>
      </c>
      <c r="I231" s="587" t="s">
        <v>601</v>
      </c>
      <c r="J231" s="585">
        <v>2</v>
      </c>
      <c r="K231" s="585" t="s">
        <v>3656</v>
      </c>
      <c r="L231" s="678">
        <v>348</v>
      </c>
      <c r="M231" s="649" t="s">
        <v>2533</v>
      </c>
      <c r="N231" s="679">
        <v>121.62599999999989</v>
      </c>
      <c r="O231" s="679">
        <v>243.24039999999999</v>
      </c>
      <c r="P231" s="589" t="s">
        <v>2534</v>
      </c>
      <c r="Q231" s="680">
        <v>336.67839999999967</v>
      </c>
      <c r="R231" s="696"/>
      <c r="S231" s="553"/>
      <c r="T231" s="553"/>
      <c r="U231" s="553"/>
      <c r="V231" s="553"/>
      <c r="W231" s="553"/>
      <c r="X231" s="553"/>
      <c r="Y231" s="553"/>
      <c r="Z231" s="553"/>
      <c r="AA231" s="553"/>
      <c r="AB231" s="554"/>
      <c r="AC231" s="555"/>
      <c r="AD231" s="556"/>
      <c r="AE231" s="556"/>
      <c r="AF231" s="556"/>
      <c r="AG231" s="556"/>
    </row>
    <row r="232" spans="1:33" s="427" customFormat="1">
      <c r="A232" s="585">
        <v>218</v>
      </c>
      <c r="B232" s="587" t="s">
        <v>3571</v>
      </c>
      <c r="C232" s="585">
        <v>218</v>
      </c>
      <c r="D232" s="629" t="s">
        <v>3714</v>
      </c>
      <c r="E232" s="586" t="s">
        <v>2445</v>
      </c>
      <c r="F232" s="675">
        <v>4.73815E-2</v>
      </c>
      <c r="G232" s="676">
        <v>3463.0023344000001</v>
      </c>
      <c r="H232" s="588">
        <v>487.2</v>
      </c>
      <c r="I232" s="587" t="s">
        <v>601</v>
      </c>
      <c r="J232" s="585">
        <v>2</v>
      </c>
      <c r="K232" s="585" t="s">
        <v>3657</v>
      </c>
      <c r="L232" s="678">
        <v>348</v>
      </c>
      <c r="M232" s="649" t="s">
        <v>2533</v>
      </c>
      <c r="N232" s="679">
        <v>121.62599999999989</v>
      </c>
      <c r="O232" s="679">
        <v>243.24039999999999</v>
      </c>
      <c r="P232" s="589" t="s">
        <v>2534</v>
      </c>
      <c r="Q232" s="680">
        <v>336.67839999999967</v>
      </c>
      <c r="R232" s="696"/>
      <c r="S232" s="553"/>
      <c r="T232" s="553"/>
      <c r="U232" s="553"/>
      <c r="V232" s="553"/>
      <c r="W232" s="553"/>
      <c r="X232" s="553"/>
      <c r="Y232" s="553"/>
      <c r="Z232" s="553"/>
      <c r="AA232" s="553"/>
      <c r="AB232" s="554"/>
      <c r="AC232" s="555"/>
      <c r="AD232" s="556"/>
      <c r="AE232" s="556"/>
      <c r="AF232" s="556"/>
      <c r="AG232" s="556"/>
    </row>
    <row r="233" spans="1:33" s="427" customFormat="1">
      <c r="A233" s="585">
        <v>219</v>
      </c>
      <c r="B233" s="587" t="s">
        <v>3572</v>
      </c>
      <c r="C233" s="585">
        <v>219</v>
      </c>
      <c r="D233" s="629" t="s">
        <v>3714</v>
      </c>
      <c r="E233" s="586" t="s">
        <v>3745</v>
      </c>
      <c r="F233" s="675">
        <v>4.7998700000000005E-2</v>
      </c>
      <c r="G233" s="676">
        <v>3463.0023344000001</v>
      </c>
      <c r="H233" s="588">
        <v>487.2</v>
      </c>
      <c r="I233" s="587" t="s">
        <v>601</v>
      </c>
      <c r="J233" s="585">
        <v>2</v>
      </c>
      <c r="K233" s="585" t="s">
        <v>3658</v>
      </c>
      <c r="L233" s="678">
        <v>348</v>
      </c>
      <c r="M233" s="649" t="s">
        <v>2533</v>
      </c>
      <c r="N233" s="679">
        <v>121.62599999999989</v>
      </c>
      <c r="O233" s="679">
        <v>243.24039999999999</v>
      </c>
      <c r="P233" s="589" t="s">
        <v>2534</v>
      </c>
      <c r="Q233" s="680">
        <v>336.67839999999967</v>
      </c>
      <c r="R233" s="696"/>
      <c r="S233" s="553"/>
      <c r="T233" s="553"/>
      <c r="U233" s="553"/>
      <c r="V233" s="553"/>
      <c r="W233" s="553"/>
      <c r="X233" s="553"/>
      <c r="Y233" s="553"/>
      <c r="Z233" s="553"/>
      <c r="AA233" s="553"/>
      <c r="AB233" s="554"/>
      <c r="AC233" s="555"/>
      <c r="AD233" s="556"/>
      <c r="AE233" s="556"/>
      <c r="AF233" s="556"/>
      <c r="AG233" s="556"/>
    </row>
    <row r="234" spans="1:33" s="427" customFormat="1">
      <c r="A234" s="585">
        <v>220</v>
      </c>
      <c r="B234" s="587" t="s">
        <v>3573</v>
      </c>
      <c r="C234" s="585">
        <v>220</v>
      </c>
      <c r="D234" s="629" t="s">
        <v>3714</v>
      </c>
      <c r="E234" s="586" t="s">
        <v>3746</v>
      </c>
      <c r="F234" s="675">
        <v>4.7998700000000005E-2</v>
      </c>
      <c r="G234" s="676">
        <v>3463.0023344000001</v>
      </c>
      <c r="H234" s="588">
        <v>487.2</v>
      </c>
      <c r="I234" s="587" t="s">
        <v>601</v>
      </c>
      <c r="J234" s="585">
        <v>2</v>
      </c>
      <c r="K234" s="585" t="s">
        <v>3659</v>
      </c>
      <c r="L234" s="678">
        <v>348</v>
      </c>
      <c r="M234" s="649" t="s">
        <v>2533</v>
      </c>
      <c r="N234" s="679">
        <v>121.62599999999989</v>
      </c>
      <c r="O234" s="679">
        <v>243.24039999999999</v>
      </c>
      <c r="P234" s="589" t="s">
        <v>2534</v>
      </c>
      <c r="Q234" s="680">
        <v>336.67839999999967</v>
      </c>
      <c r="R234" s="696"/>
      <c r="S234" s="553"/>
      <c r="T234" s="553"/>
      <c r="U234" s="553"/>
      <c r="V234" s="553"/>
      <c r="W234" s="553"/>
      <c r="X234" s="553"/>
      <c r="Y234" s="553"/>
      <c r="Z234" s="553"/>
      <c r="AA234" s="553"/>
      <c r="AB234" s="554"/>
      <c r="AC234" s="555"/>
      <c r="AD234" s="556"/>
      <c r="AE234" s="556"/>
      <c r="AF234" s="556"/>
      <c r="AG234" s="556"/>
    </row>
    <row r="235" spans="1:33" s="427" customFormat="1">
      <c r="A235" s="585">
        <v>221</v>
      </c>
      <c r="B235" s="587" t="s">
        <v>3574</v>
      </c>
      <c r="C235" s="585">
        <v>221</v>
      </c>
      <c r="D235" s="629" t="s">
        <v>3714</v>
      </c>
      <c r="E235" s="586" t="s">
        <v>3747</v>
      </c>
      <c r="F235" s="675">
        <v>4.7998700000000005E-2</v>
      </c>
      <c r="G235" s="676">
        <v>3463.0023344000001</v>
      </c>
      <c r="H235" s="588">
        <v>487.2</v>
      </c>
      <c r="I235" s="587" t="s">
        <v>601</v>
      </c>
      <c r="J235" s="585">
        <v>2</v>
      </c>
      <c r="K235" s="585" t="s">
        <v>3660</v>
      </c>
      <c r="L235" s="678">
        <v>348</v>
      </c>
      <c r="M235" s="649" t="s">
        <v>2533</v>
      </c>
      <c r="N235" s="679">
        <v>121.62599999999989</v>
      </c>
      <c r="O235" s="679">
        <v>243.24039999999999</v>
      </c>
      <c r="P235" s="589" t="s">
        <v>2534</v>
      </c>
      <c r="Q235" s="680">
        <v>336.67839999999967</v>
      </c>
      <c r="R235" s="696"/>
      <c r="S235" s="553"/>
      <c r="T235" s="553"/>
      <c r="U235" s="553"/>
      <c r="V235" s="553"/>
      <c r="W235" s="553"/>
      <c r="X235" s="553"/>
      <c r="Y235" s="553"/>
      <c r="Z235" s="553"/>
      <c r="AA235" s="553"/>
      <c r="AB235" s="554"/>
      <c r="AC235" s="555"/>
      <c r="AD235" s="556"/>
      <c r="AE235" s="556"/>
      <c r="AF235" s="556"/>
      <c r="AG235" s="556"/>
    </row>
    <row r="236" spans="1:33" s="427" customFormat="1">
      <c r="A236" s="585">
        <v>222</v>
      </c>
      <c r="B236" s="587" t="s">
        <v>3575</v>
      </c>
      <c r="C236" s="585">
        <v>222</v>
      </c>
      <c r="D236" s="629" t="s">
        <v>3714</v>
      </c>
      <c r="E236" s="586" t="s">
        <v>3748</v>
      </c>
      <c r="F236" s="675">
        <v>4.7998700000000005E-2</v>
      </c>
      <c r="G236" s="676">
        <v>3463.0023344000001</v>
      </c>
      <c r="H236" s="588">
        <v>487.2</v>
      </c>
      <c r="I236" s="587" t="s">
        <v>601</v>
      </c>
      <c r="J236" s="585">
        <v>2</v>
      </c>
      <c r="K236" s="585" t="s">
        <v>3661</v>
      </c>
      <c r="L236" s="678">
        <v>348</v>
      </c>
      <c r="M236" s="649" t="s">
        <v>2533</v>
      </c>
      <c r="N236" s="679">
        <v>121.62599999999989</v>
      </c>
      <c r="O236" s="679">
        <v>243.24039999999999</v>
      </c>
      <c r="P236" s="589" t="s">
        <v>2534</v>
      </c>
      <c r="Q236" s="680">
        <v>336.67839999999967</v>
      </c>
      <c r="R236" s="696"/>
      <c r="S236" s="553"/>
      <c r="T236" s="553"/>
      <c r="U236" s="553"/>
      <c r="V236" s="553"/>
      <c r="W236" s="553"/>
      <c r="X236" s="553"/>
      <c r="Y236" s="553"/>
      <c r="Z236" s="553"/>
      <c r="AA236" s="553"/>
      <c r="AB236" s="554"/>
      <c r="AC236" s="555"/>
      <c r="AD236" s="556"/>
      <c r="AE236" s="556"/>
      <c r="AF236" s="556"/>
      <c r="AG236" s="556"/>
    </row>
    <row r="237" spans="1:33" s="427" customFormat="1">
      <c r="A237" s="585">
        <v>223</v>
      </c>
      <c r="B237" s="587" t="s">
        <v>3576</v>
      </c>
      <c r="C237" s="585">
        <v>223</v>
      </c>
      <c r="D237" s="629" t="s">
        <v>3714</v>
      </c>
      <c r="E237" s="586" t="s">
        <v>3749</v>
      </c>
      <c r="F237" s="675">
        <v>4.7998700000000005E-2</v>
      </c>
      <c r="G237" s="676">
        <v>3463.0023344000001</v>
      </c>
      <c r="H237" s="588">
        <v>487.2</v>
      </c>
      <c r="I237" s="587" t="s">
        <v>601</v>
      </c>
      <c r="J237" s="585">
        <v>2</v>
      </c>
      <c r="K237" s="585" t="s">
        <v>3662</v>
      </c>
      <c r="L237" s="678">
        <v>348</v>
      </c>
      <c r="M237" s="649" t="s">
        <v>2533</v>
      </c>
      <c r="N237" s="679">
        <v>121.62599999999989</v>
      </c>
      <c r="O237" s="679">
        <v>243.24039999999999</v>
      </c>
      <c r="P237" s="589" t="s">
        <v>2534</v>
      </c>
      <c r="Q237" s="680">
        <v>336.67839999999967</v>
      </c>
      <c r="R237" s="696"/>
      <c r="S237" s="553"/>
      <c r="T237" s="553"/>
      <c r="U237" s="553"/>
      <c r="V237" s="553"/>
      <c r="W237" s="553"/>
      <c r="X237" s="553"/>
      <c r="Y237" s="553"/>
      <c r="Z237" s="553"/>
      <c r="AA237" s="553"/>
      <c r="AB237" s="554"/>
      <c r="AC237" s="555"/>
      <c r="AD237" s="556"/>
      <c r="AE237" s="556"/>
      <c r="AF237" s="556"/>
      <c r="AG237" s="556"/>
    </row>
    <row r="238" spans="1:33" s="427" customFormat="1">
      <c r="A238" s="585">
        <v>224</v>
      </c>
      <c r="B238" s="587" t="s">
        <v>3577</v>
      </c>
      <c r="C238" s="585">
        <v>224</v>
      </c>
      <c r="D238" s="629" t="s">
        <v>3714</v>
      </c>
      <c r="E238" s="586" t="s">
        <v>3750</v>
      </c>
      <c r="F238" s="675">
        <v>4.7998700000000005E-2</v>
      </c>
      <c r="G238" s="676">
        <v>3463.0023344000001</v>
      </c>
      <c r="H238" s="588">
        <v>487.2</v>
      </c>
      <c r="I238" s="587" t="s">
        <v>601</v>
      </c>
      <c r="J238" s="585">
        <v>2</v>
      </c>
      <c r="K238" s="585" t="s">
        <v>3663</v>
      </c>
      <c r="L238" s="678">
        <v>348</v>
      </c>
      <c r="M238" s="649" t="s">
        <v>2533</v>
      </c>
      <c r="N238" s="679">
        <v>121.62599999999989</v>
      </c>
      <c r="O238" s="679">
        <v>243.24039999999999</v>
      </c>
      <c r="P238" s="589" t="s">
        <v>2534</v>
      </c>
      <c r="Q238" s="680">
        <v>336.67839999999967</v>
      </c>
      <c r="R238" s="696"/>
      <c r="S238" s="553"/>
      <c r="T238" s="553"/>
      <c r="U238" s="553"/>
      <c r="V238" s="553"/>
      <c r="W238" s="553"/>
      <c r="X238" s="553"/>
      <c r="Y238" s="553"/>
      <c r="Z238" s="553"/>
      <c r="AA238" s="553"/>
      <c r="AB238" s="554"/>
      <c r="AC238" s="555"/>
      <c r="AD238" s="556"/>
      <c r="AE238" s="556"/>
      <c r="AF238" s="556"/>
      <c r="AG238" s="556"/>
    </row>
    <row r="239" spans="1:33" s="427" customFormat="1">
      <c r="A239" s="585">
        <v>225</v>
      </c>
      <c r="B239" s="587" t="s">
        <v>3578</v>
      </c>
      <c r="C239" s="585">
        <v>225</v>
      </c>
      <c r="D239" s="629" t="s">
        <v>3714</v>
      </c>
      <c r="E239" s="586" t="s">
        <v>3751</v>
      </c>
      <c r="F239" s="675">
        <v>4.7998700000000005E-2</v>
      </c>
      <c r="G239" s="676">
        <v>3463.0023344000001</v>
      </c>
      <c r="H239" s="588">
        <v>487.2</v>
      </c>
      <c r="I239" s="587" t="s">
        <v>601</v>
      </c>
      <c r="J239" s="585">
        <v>2</v>
      </c>
      <c r="K239" s="585" t="s">
        <v>3664</v>
      </c>
      <c r="L239" s="678">
        <v>348</v>
      </c>
      <c r="M239" s="649" t="s">
        <v>2533</v>
      </c>
      <c r="N239" s="679">
        <v>121.62599999999989</v>
      </c>
      <c r="O239" s="679">
        <v>243.24039999999999</v>
      </c>
      <c r="P239" s="589" t="s">
        <v>2534</v>
      </c>
      <c r="Q239" s="680">
        <v>336.67839999999967</v>
      </c>
      <c r="R239" s="696"/>
      <c r="S239" s="553"/>
      <c r="T239" s="553"/>
      <c r="U239" s="553"/>
      <c r="V239" s="553"/>
      <c r="W239" s="553"/>
      <c r="X239" s="553"/>
      <c r="Y239" s="553"/>
      <c r="Z239" s="553"/>
      <c r="AA239" s="553"/>
      <c r="AB239" s="554"/>
      <c r="AC239" s="555"/>
      <c r="AD239" s="556"/>
      <c r="AE239" s="556"/>
      <c r="AF239" s="556"/>
      <c r="AG239" s="556"/>
    </row>
    <row r="240" spans="1:33" s="427" customFormat="1">
      <c r="A240" s="585">
        <v>226</v>
      </c>
      <c r="B240" s="587" t="s">
        <v>4327</v>
      </c>
      <c r="C240" s="585">
        <v>226</v>
      </c>
      <c r="D240" s="629" t="s">
        <v>3714</v>
      </c>
      <c r="E240" s="586" t="s">
        <v>4328</v>
      </c>
      <c r="F240" s="675">
        <v>4.4601699999999994E-2</v>
      </c>
      <c r="G240" s="676">
        <v>2538.48</v>
      </c>
      <c r="H240" s="588">
        <v>487.2</v>
      </c>
      <c r="I240" s="587" t="s">
        <v>549</v>
      </c>
      <c r="J240" s="585">
        <v>1</v>
      </c>
      <c r="K240" s="585" t="s">
        <v>4329</v>
      </c>
      <c r="L240" s="678">
        <v>348</v>
      </c>
      <c r="M240" s="649" t="s">
        <v>2533</v>
      </c>
      <c r="N240" s="679">
        <v>67.071199999999919</v>
      </c>
      <c r="O240" s="679">
        <v>134.15400000000011</v>
      </c>
      <c r="P240" s="589" t="s">
        <v>2534</v>
      </c>
      <c r="Q240" s="680">
        <v>336.67839999999967</v>
      </c>
      <c r="R240" s="696"/>
      <c r="S240" s="553"/>
      <c r="T240" s="553"/>
      <c r="U240" s="553"/>
      <c r="V240" s="553"/>
      <c r="W240" s="553"/>
      <c r="X240" s="553"/>
      <c r="Y240" s="553"/>
      <c r="Z240" s="553"/>
      <c r="AA240" s="553"/>
      <c r="AB240" s="554"/>
      <c r="AC240" s="555"/>
      <c r="AD240" s="556"/>
      <c r="AE240" s="556"/>
      <c r="AF240" s="556"/>
      <c r="AG240" s="556"/>
    </row>
    <row r="241" spans="1:33" s="427" customFormat="1">
      <c r="A241" s="585">
        <v>227</v>
      </c>
      <c r="B241" s="587" t="s">
        <v>3579</v>
      </c>
      <c r="C241" s="585">
        <v>227</v>
      </c>
      <c r="D241" s="629" t="s">
        <v>3714</v>
      </c>
      <c r="E241" s="586" t="s">
        <v>3752</v>
      </c>
      <c r="F241" s="675">
        <v>4.73815E-2</v>
      </c>
      <c r="G241" s="676">
        <v>3463.0023344000001</v>
      </c>
      <c r="H241" s="588">
        <v>487.2</v>
      </c>
      <c r="I241" s="587" t="s">
        <v>601</v>
      </c>
      <c r="J241" s="585">
        <v>2</v>
      </c>
      <c r="K241" s="585" t="s">
        <v>3665</v>
      </c>
      <c r="L241" s="678">
        <v>348</v>
      </c>
      <c r="M241" s="649" t="s">
        <v>2533</v>
      </c>
      <c r="N241" s="679">
        <v>121.62599999999989</v>
      </c>
      <c r="O241" s="679">
        <v>243.24039999999999</v>
      </c>
      <c r="P241" s="589" t="s">
        <v>2534</v>
      </c>
      <c r="Q241" s="680">
        <v>336.67839999999967</v>
      </c>
      <c r="R241" s="696"/>
      <c r="S241" s="553"/>
      <c r="T241" s="553"/>
      <c r="U241" s="553"/>
      <c r="V241" s="553"/>
      <c r="W241" s="553"/>
      <c r="X241" s="553"/>
      <c r="Y241" s="553"/>
      <c r="Z241" s="553"/>
      <c r="AA241" s="553"/>
      <c r="AB241" s="554"/>
      <c r="AC241" s="555"/>
      <c r="AD241" s="556"/>
      <c r="AE241" s="556"/>
      <c r="AF241" s="556"/>
      <c r="AG241" s="556"/>
    </row>
    <row r="242" spans="1:33" s="427" customFormat="1">
      <c r="A242" s="585">
        <v>228</v>
      </c>
      <c r="B242" s="587" t="s">
        <v>3580</v>
      </c>
      <c r="C242" s="585">
        <v>228</v>
      </c>
      <c r="D242" s="629" t="s">
        <v>3714</v>
      </c>
      <c r="E242" s="586" t="s">
        <v>3753</v>
      </c>
      <c r="F242" s="675">
        <v>4.00282E-2</v>
      </c>
      <c r="G242" s="676">
        <v>3463.0023344000001</v>
      </c>
      <c r="H242" s="588">
        <v>487.2</v>
      </c>
      <c r="I242" s="587" t="s">
        <v>601</v>
      </c>
      <c r="J242" s="585">
        <v>2</v>
      </c>
      <c r="K242" s="585" t="s">
        <v>3666</v>
      </c>
      <c r="L242" s="678">
        <v>348</v>
      </c>
      <c r="M242" s="649" t="s">
        <v>2533</v>
      </c>
      <c r="N242" s="679">
        <v>121.62599999999989</v>
      </c>
      <c r="O242" s="679">
        <v>243.24039999999999</v>
      </c>
      <c r="P242" s="589" t="s">
        <v>2534</v>
      </c>
      <c r="Q242" s="680">
        <v>336.67839999999967</v>
      </c>
      <c r="R242" s="696"/>
      <c r="S242" s="553"/>
      <c r="T242" s="553"/>
      <c r="U242" s="553"/>
      <c r="V242" s="553"/>
      <c r="W242" s="553"/>
      <c r="X242" s="553"/>
      <c r="Y242" s="553"/>
      <c r="Z242" s="553"/>
      <c r="AA242" s="553"/>
      <c r="AB242" s="554"/>
      <c r="AC242" s="555"/>
      <c r="AD242" s="556"/>
      <c r="AE242" s="556"/>
      <c r="AF242" s="556"/>
      <c r="AG242" s="556"/>
    </row>
    <row r="243" spans="1:33" s="427" customFormat="1">
      <c r="A243" s="585">
        <v>229</v>
      </c>
      <c r="B243" s="587" t="s">
        <v>3581</v>
      </c>
      <c r="C243" s="585">
        <v>229</v>
      </c>
      <c r="D243" s="629" t="s">
        <v>3714</v>
      </c>
      <c r="E243" s="586" t="s">
        <v>3754</v>
      </c>
      <c r="F243" s="675">
        <v>4.00282E-2</v>
      </c>
      <c r="G243" s="676">
        <v>3463.0023344000001</v>
      </c>
      <c r="H243" s="588">
        <v>487.2</v>
      </c>
      <c r="I243" s="587" t="s">
        <v>601</v>
      </c>
      <c r="J243" s="585">
        <v>2</v>
      </c>
      <c r="K243" s="585" t="s">
        <v>3667</v>
      </c>
      <c r="L243" s="678">
        <v>348</v>
      </c>
      <c r="M243" s="649" t="s">
        <v>2533</v>
      </c>
      <c r="N243" s="679">
        <v>121.62599999999989</v>
      </c>
      <c r="O243" s="679">
        <v>243.24039999999999</v>
      </c>
      <c r="P243" s="589" t="s">
        <v>2534</v>
      </c>
      <c r="Q243" s="680">
        <v>336.67839999999967</v>
      </c>
      <c r="R243" s="696"/>
      <c r="S243" s="553"/>
      <c r="T243" s="553"/>
      <c r="U243" s="553"/>
      <c r="V243" s="553"/>
      <c r="W243" s="553"/>
      <c r="X243" s="553"/>
      <c r="Y243" s="553"/>
      <c r="Z243" s="553"/>
      <c r="AA243" s="553"/>
      <c r="AB243" s="554"/>
      <c r="AC243" s="555"/>
      <c r="AD243" s="556"/>
      <c r="AE243" s="556"/>
      <c r="AF243" s="556"/>
      <c r="AG243" s="556"/>
    </row>
    <row r="244" spans="1:33" s="427" customFormat="1">
      <c r="A244" s="585">
        <v>230</v>
      </c>
      <c r="B244" s="587" t="s">
        <v>3582</v>
      </c>
      <c r="C244" s="585">
        <v>230</v>
      </c>
      <c r="D244" s="629" t="s">
        <v>3714</v>
      </c>
      <c r="E244" s="586" t="s">
        <v>3755</v>
      </c>
      <c r="F244" s="675">
        <v>4.00282E-2</v>
      </c>
      <c r="G244" s="676">
        <v>3463.0023344000001</v>
      </c>
      <c r="H244" s="588">
        <v>487.2</v>
      </c>
      <c r="I244" s="587" t="s">
        <v>601</v>
      </c>
      <c r="J244" s="585">
        <v>2</v>
      </c>
      <c r="K244" s="585" t="s">
        <v>3668</v>
      </c>
      <c r="L244" s="678">
        <v>348</v>
      </c>
      <c r="M244" s="649" t="s">
        <v>2533</v>
      </c>
      <c r="N244" s="679">
        <v>121.62599999999989</v>
      </c>
      <c r="O244" s="679">
        <v>243.24039999999999</v>
      </c>
      <c r="P244" s="589" t="s">
        <v>2534</v>
      </c>
      <c r="Q244" s="680">
        <v>336.67839999999967</v>
      </c>
      <c r="R244" s="696"/>
      <c r="S244" s="553"/>
      <c r="T244" s="553"/>
      <c r="U244" s="553"/>
      <c r="V244" s="553"/>
      <c r="W244" s="553"/>
      <c r="X244" s="553"/>
      <c r="Y244" s="553"/>
      <c r="Z244" s="553"/>
      <c r="AA244" s="553"/>
      <c r="AB244" s="554"/>
      <c r="AC244" s="555"/>
      <c r="AD244" s="556"/>
      <c r="AE244" s="556"/>
      <c r="AF244" s="556"/>
      <c r="AG244" s="556"/>
    </row>
    <row r="245" spans="1:33" s="427" customFormat="1">
      <c r="A245" s="585">
        <v>231</v>
      </c>
      <c r="B245" s="587" t="s">
        <v>10409</v>
      </c>
      <c r="C245" s="585">
        <v>231</v>
      </c>
      <c r="D245" s="629" t="s">
        <v>3714</v>
      </c>
      <c r="E245" s="586" t="s">
        <v>10443</v>
      </c>
      <c r="F245" s="675">
        <v>4.0028000000000001E-2</v>
      </c>
      <c r="G245" s="676">
        <v>3463</v>
      </c>
      <c r="H245" s="588">
        <v>487.2</v>
      </c>
      <c r="I245" s="587" t="s">
        <v>601</v>
      </c>
      <c r="J245" s="585">
        <v>2</v>
      </c>
      <c r="K245" s="585" t="s">
        <v>10475</v>
      </c>
      <c r="L245" s="678">
        <v>348</v>
      </c>
      <c r="M245" s="649" t="s">
        <v>2533</v>
      </c>
      <c r="N245" s="679">
        <v>121.62599999999989</v>
      </c>
      <c r="O245" s="679">
        <v>243.24040000000008</v>
      </c>
      <c r="P245" s="589" t="s">
        <v>2534</v>
      </c>
      <c r="Q245" s="680">
        <v>336.67840000000001</v>
      </c>
      <c r="R245" s="696"/>
      <c r="S245" s="553"/>
      <c r="T245" s="553"/>
      <c r="U245" s="553"/>
      <c r="V245" s="553"/>
      <c r="W245" s="553"/>
      <c r="X245" s="553"/>
      <c r="Y245" s="553"/>
      <c r="Z245" s="553"/>
      <c r="AA245" s="553"/>
      <c r="AB245" s="554"/>
      <c r="AC245" s="555"/>
      <c r="AD245" s="556"/>
      <c r="AE245" s="556"/>
      <c r="AF245" s="556"/>
      <c r="AG245" s="556"/>
    </row>
    <row r="246" spans="1:33" s="427" customFormat="1">
      <c r="A246" s="585">
        <v>232</v>
      </c>
      <c r="B246" s="587" t="s">
        <v>4549</v>
      </c>
      <c r="C246" s="585">
        <v>232</v>
      </c>
      <c r="D246" s="629" t="s">
        <v>3714</v>
      </c>
      <c r="E246" s="586" t="s">
        <v>4560</v>
      </c>
      <c r="F246" s="675">
        <v>4.60186E-2</v>
      </c>
      <c r="G246" s="676">
        <v>2538.48</v>
      </c>
      <c r="H246" s="588">
        <v>487.2</v>
      </c>
      <c r="I246" s="587" t="s">
        <v>549</v>
      </c>
      <c r="J246" s="585">
        <v>1</v>
      </c>
      <c r="K246" s="585" t="s">
        <v>4569</v>
      </c>
      <c r="L246" s="678">
        <v>348</v>
      </c>
      <c r="M246" s="649" t="s">
        <v>2533</v>
      </c>
      <c r="N246" s="679">
        <v>67.071199999999919</v>
      </c>
      <c r="O246" s="679">
        <v>134.154</v>
      </c>
      <c r="P246" s="589" t="s">
        <v>2534</v>
      </c>
      <c r="Q246" s="680">
        <v>336.67839999999967</v>
      </c>
      <c r="R246" s="696"/>
      <c r="S246" s="553"/>
      <c r="T246" s="553"/>
      <c r="U246" s="553"/>
      <c r="V246" s="553"/>
      <c r="W246" s="553"/>
      <c r="X246" s="553"/>
      <c r="Y246" s="553"/>
      <c r="Z246" s="553"/>
      <c r="AA246" s="553"/>
      <c r="AB246" s="554"/>
      <c r="AC246" s="555"/>
      <c r="AD246" s="556"/>
      <c r="AE246" s="556"/>
      <c r="AF246" s="556"/>
      <c r="AG246" s="556"/>
    </row>
    <row r="247" spans="1:33" s="427" customFormat="1">
      <c r="A247" s="585">
        <v>233</v>
      </c>
      <c r="B247" s="587" t="s">
        <v>3583</v>
      </c>
      <c r="C247" s="585">
        <v>233</v>
      </c>
      <c r="D247" s="629" t="s">
        <v>3714</v>
      </c>
      <c r="E247" s="586" t="s">
        <v>3756</v>
      </c>
      <c r="F247" s="675">
        <v>5.0000499999999996E-2</v>
      </c>
      <c r="G247" s="676">
        <v>3463.0023344000001</v>
      </c>
      <c r="H247" s="588">
        <v>487.2</v>
      </c>
      <c r="I247" s="587" t="s">
        <v>601</v>
      </c>
      <c r="J247" s="585">
        <v>2</v>
      </c>
      <c r="K247" s="585" t="s">
        <v>3669</v>
      </c>
      <c r="L247" s="678">
        <v>348</v>
      </c>
      <c r="M247" s="649" t="s">
        <v>2533</v>
      </c>
      <c r="N247" s="679">
        <v>121.62599999999989</v>
      </c>
      <c r="O247" s="679">
        <v>243.24039999999999</v>
      </c>
      <c r="P247" s="589" t="s">
        <v>2534</v>
      </c>
      <c r="Q247" s="680">
        <v>336.67839999999967</v>
      </c>
      <c r="R247" s="696"/>
      <c r="S247" s="553"/>
      <c r="T247" s="553"/>
      <c r="U247" s="553"/>
      <c r="V247" s="553"/>
      <c r="W247" s="553"/>
      <c r="X247" s="553"/>
      <c r="Y247" s="553"/>
      <c r="Z247" s="553"/>
      <c r="AA247" s="553"/>
      <c r="AB247" s="554"/>
      <c r="AC247" s="555"/>
      <c r="AD247" s="556"/>
      <c r="AE247" s="556"/>
      <c r="AF247" s="556"/>
      <c r="AG247" s="556"/>
    </row>
    <row r="248" spans="1:33" s="427" customFormat="1">
      <c r="A248" s="585">
        <v>234</v>
      </c>
      <c r="B248" s="587" t="s">
        <v>3584</v>
      </c>
      <c r="C248" s="585">
        <v>234</v>
      </c>
      <c r="D248" s="629" t="s">
        <v>3714</v>
      </c>
      <c r="E248" s="586" t="s">
        <v>3757</v>
      </c>
      <c r="F248" s="675">
        <v>4.98392E-2</v>
      </c>
      <c r="G248" s="676">
        <v>3463.0023344000001</v>
      </c>
      <c r="H248" s="588">
        <v>487.2</v>
      </c>
      <c r="I248" s="587" t="s">
        <v>601</v>
      </c>
      <c r="J248" s="585">
        <v>2</v>
      </c>
      <c r="K248" s="585" t="s">
        <v>3670</v>
      </c>
      <c r="L248" s="678">
        <v>348</v>
      </c>
      <c r="M248" s="649" t="s">
        <v>2533</v>
      </c>
      <c r="N248" s="679">
        <v>121.62599999999989</v>
      </c>
      <c r="O248" s="679">
        <v>243.24039999999999</v>
      </c>
      <c r="P248" s="589" t="s">
        <v>2534</v>
      </c>
      <c r="Q248" s="680">
        <v>336.67839999999967</v>
      </c>
      <c r="R248" s="696"/>
      <c r="S248" s="553"/>
      <c r="T248" s="553"/>
      <c r="U248" s="553"/>
      <c r="V248" s="553"/>
      <c r="W248" s="553"/>
      <c r="X248" s="553"/>
      <c r="Y248" s="553"/>
      <c r="Z248" s="553"/>
      <c r="AA248" s="553"/>
      <c r="AB248" s="554"/>
      <c r="AC248" s="555"/>
      <c r="AD248" s="556"/>
      <c r="AE248" s="556"/>
      <c r="AF248" s="556"/>
      <c r="AG248" s="556"/>
    </row>
    <row r="249" spans="1:33" s="427" customFormat="1">
      <c r="A249" s="585">
        <v>235</v>
      </c>
      <c r="B249" s="587" t="s">
        <v>3585</v>
      </c>
      <c r="C249" s="585">
        <v>235</v>
      </c>
      <c r="D249" s="629" t="s">
        <v>3714</v>
      </c>
      <c r="E249" s="586" t="s">
        <v>3758</v>
      </c>
      <c r="F249" s="675">
        <v>4.6420199999999995E-2</v>
      </c>
      <c r="G249" s="676">
        <v>2538.48</v>
      </c>
      <c r="H249" s="588">
        <v>487.2</v>
      </c>
      <c r="I249" s="587" t="s">
        <v>549</v>
      </c>
      <c r="J249" s="585">
        <v>1</v>
      </c>
      <c r="K249" s="585" t="s">
        <v>3671</v>
      </c>
      <c r="L249" s="678">
        <v>348</v>
      </c>
      <c r="M249" s="649" t="s">
        <v>2533</v>
      </c>
      <c r="N249" s="679">
        <v>67.071199999999919</v>
      </c>
      <c r="O249" s="679">
        <v>134.154</v>
      </c>
      <c r="P249" s="589" t="s">
        <v>2534</v>
      </c>
      <c r="Q249" s="680">
        <v>336.67839999999967</v>
      </c>
      <c r="R249" s="696"/>
      <c r="S249" s="553"/>
      <c r="T249" s="553"/>
      <c r="U249" s="553"/>
      <c r="V249" s="553"/>
      <c r="W249" s="553"/>
      <c r="X249" s="553"/>
      <c r="Y249" s="553"/>
      <c r="Z249" s="553"/>
      <c r="AA249" s="553"/>
      <c r="AB249" s="554"/>
      <c r="AC249" s="555"/>
      <c r="AD249" s="556"/>
      <c r="AE249" s="556"/>
      <c r="AF249" s="556"/>
      <c r="AG249" s="556"/>
    </row>
    <row r="250" spans="1:33" s="427" customFormat="1">
      <c r="A250" s="585">
        <v>236</v>
      </c>
      <c r="B250" s="587" t="s">
        <v>3586</v>
      </c>
      <c r="C250" s="585">
        <v>236</v>
      </c>
      <c r="D250" s="629" t="s">
        <v>3714</v>
      </c>
      <c r="E250" s="586" t="s">
        <v>3759</v>
      </c>
      <c r="F250" s="675">
        <v>4.98392E-2</v>
      </c>
      <c r="G250" s="676">
        <v>3463.0023344000001</v>
      </c>
      <c r="H250" s="588">
        <v>487.2</v>
      </c>
      <c r="I250" s="587" t="s">
        <v>601</v>
      </c>
      <c r="J250" s="585">
        <v>2</v>
      </c>
      <c r="K250" s="585" t="s">
        <v>3672</v>
      </c>
      <c r="L250" s="678">
        <v>348</v>
      </c>
      <c r="M250" s="649" t="s">
        <v>2533</v>
      </c>
      <c r="N250" s="679">
        <v>121.62599999999989</v>
      </c>
      <c r="O250" s="679">
        <v>243.24039999999999</v>
      </c>
      <c r="P250" s="589" t="s">
        <v>2534</v>
      </c>
      <c r="Q250" s="680">
        <v>336.67839999999967</v>
      </c>
      <c r="R250" s="696"/>
      <c r="S250" s="553"/>
      <c r="T250" s="553"/>
      <c r="U250" s="553"/>
      <c r="V250" s="553"/>
      <c r="W250" s="553"/>
      <c r="X250" s="553"/>
      <c r="Y250" s="553"/>
      <c r="Z250" s="553"/>
      <c r="AA250" s="553"/>
      <c r="AB250" s="554"/>
      <c r="AC250" s="555"/>
      <c r="AD250" s="556"/>
      <c r="AE250" s="556"/>
      <c r="AF250" s="556"/>
      <c r="AG250" s="556"/>
    </row>
    <row r="251" spans="1:33" s="427" customFormat="1">
      <c r="A251" s="585">
        <v>237</v>
      </c>
      <c r="B251" s="587" t="s">
        <v>3587</v>
      </c>
      <c r="C251" s="585">
        <v>237</v>
      </c>
      <c r="D251" s="629" t="s">
        <v>3714</v>
      </c>
      <c r="E251" s="586" t="s">
        <v>3760</v>
      </c>
      <c r="F251" s="675">
        <v>4.6420199999999995E-2</v>
      </c>
      <c r="G251" s="676">
        <v>2538.48</v>
      </c>
      <c r="H251" s="588">
        <v>487.2</v>
      </c>
      <c r="I251" s="587" t="s">
        <v>549</v>
      </c>
      <c r="J251" s="585">
        <v>1</v>
      </c>
      <c r="K251" s="585" t="s">
        <v>3673</v>
      </c>
      <c r="L251" s="678">
        <v>348</v>
      </c>
      <c r="M251" s="649" t="s">
        <v>2533</v>
      </c>
      <c r="N251" s="679">
        <v>67.071199999999919</v>
      </c>
      <c r="O251" s="679">
        <v>134.154</v>
      </c>
      <c r="P251" s="589" t="s">
        <v>2534</v>
      </c>
      <c r="Q251" s="680">
        <v>336.67839999999967</v>
      </c>
      <c r="R251" s="696"/>
      <c r="S251" s="553"/>
      <c r="T251" s="553"/>
      <c r="U251" s="553"/>
      <c r="V251" s="553"/>
      <c r="W251" s="553"/>
      <c r="X251" s="553"/>
      <c r="Y251" s="553"/>
      <c r="Z251" s="553"/>
      <c r="AA251" s="553"/>
      <c r="AB251" s="554"/>
      <c r="AC251" s="555"/>
      <c r="AD251" s="556"/>
      <c r="AE251" s="556"/>
      <c r="AF251" s="556"/>
      <c r="AG251" s="556"/>
    </row>
    <row r="252" spans="1:33" s="427" customFormat="1">
      <c r="A252" s="585">
        <v>238</v>
      </c>
      <c r="B252" s="587" t="s">
        <v>10410</v>
      </c>
      <c r="C252" s="585">
        <v>238</v>
      </c>
      <c r="D252" s="629" t="s">
        <v>2291</v>
      </c>
      <c r="E252" s="586" t="s">
        <v>10444</v>
      </c>
      <c r="F252" s="675">
        <v>2.8934000000000001E-2</v>
      </c>
      <c r="G252" s="676">
        <v>8154.3127999999997</v>
      </c>
      <c r="H252" s="588">
        <v>487.2</v>
      </c>
      <c r="I252" s="587" t="s">
        <v>3793</v>
      </c>
      <c r="J252" s="585">
        <v>3</v>
      </c>
      <c r="K252" s="585" t="s">
        <v>10476</v>
      </c>
      <c r="L252" s="678">
        <v>0</v>
      </c>
      <c r="M252" s="649" t="s">
        <v>2533</v>
      </c>
      <c r="N252" s="679">
        <v>330.28680000000003</v>
      </c>
      <c r="O252" s="679">
        <v>660.56200000000001</v>
      </c>
      <c r="P252" s="589" t="s">
        <v>2534</v>
      </c>
      <c r="Q252" s="680">
        <v>0</v>
      </c>
      <c r="R252" s="696"/>
      <c r="S252" s="553"/>
      <c r="T252" s="553"/>
      <c r="U252" s="553"/>
      <c r="V252" s="553"/>
      <c r="W252" s="553"/>
      <c r="X252" s="553"/>
      <c r="Y252" s="553"/>
      <c r="Z252" s="553"/>
      <c r="AA252" s="553"/>
      <c r="AB252" s="554"/>
      <c r="AC252" s="555"/>
      <c r="AD252" s="556"/>
      <c r="AE252" s="556"/>
      <c r="AF252" s="556"/>
      <c r="AG252" s="556"/>
    </row>
    <row r="253" spans="1:33" s="427" customFormat="1">
      <c r="A253" s="585">
        <v>239</v>
      </c>
      <c r="B253" s="587" t="s">
        <v>10411</v>
      </c>
      <c r="C253" s="585">
        <v>239</v>
      </c>
      <c r="D253" s="629" t="s">
        <v>2291</v>
      </c>
      <c r="E253" s="586" t="s">
        <v>10445</v>
      </c>
      <c r="F253" s="675">
        <v>2.6136E-2</v>
      </c>
      <c r="G253" s="676">
        <v>8691.4159999999993</v>
      </c>
      <c r="H253" s="588">
        <v>487.2</v>
      </c>
      <c r="I253" s="587" t="s">
        <v>3793</v>
      </c>
      <c r="J253" s="585">
        <v>3</v>
      </c>
      <c r="K253" s="585" t="s">
        <v>10477</v>
      </c>
      <c r="L253" s="678">
        <v>0</v>
      </c>
      <c r="M253" s="649" t="s">
        <v>2533</v>
      </c>
      <c r="N253" s="679">
        <v>354.90199999999999</v>
      </c>
      <c r="O253" s="679">
        <v>709.80399999999997</v>
      </c>
      <c r="P253" s="589" t="s">
        <v>2534</v>
      </c>
      <c r="Q253" s="680">
        <v>0</v>
      </c>
      <c r="R253" s="696"/>
      <c r="S253" s="553"/>
      <c r="T253" s="553"/>
      <c r="U253" s="553"/>
      <c r="V253" s="553"/>
      <c r="W253" s="553"/>
      <c r="X253" s="553"/>
      <c r="Y253" s="553"/>
      <c r="Z253" s="553"/>
      <c r="AA253" s="553"/>
      <c r="AB253" s="554"/>
      <c r="AC253" s="555"/>
      <c r="AD253" s="556"/>
      <c r="AE253" s="556"/>
      <c r="AF253" s="556"/>
      <c r="AG253" s="556"/>
    </row>
    <row r="254" spans="1:33" s="427" customFormat="1">
      <c r="A254" s="585">
        <v>240</v>
      </c>
      <c r="B254" s="587" t="s">
        <v>3588</v>
      </c>
      <c r="C254" s="585">
        <v>240</v>
      </c>
      <c r="D254" s="629" t="s">
        <v>2291</v>
      </c>
      <c r="E254" s="586" t="s">
        <v>3761</v>
      </c>
      <c r="F254" s="675">
        <v>5.0578399999999996E-2</v>
      </c>
      <c r="G254" s="676">
        <v>3463.0023344000001</v>
      </c>
      <c r="H254" s="588">
        <v>487.2</v>
      </c>
      <c r="I254" s="587" t="s">
        <v>601</v>
      </c>
      <c r="J254" s="585">
        <v>2</v>
      </c>
      <c r="K254" s="585" t="s">
        <v>3674</v>
      </c>
      <c r="L254" s="678">
        <v>348</v>
      </c>
      <c r="M254" s="649" t="s">
        <v>2533</v>
      </c>
      <c r="N254" s="679">
        <v>121.62599999999989</v>
      </c>
      <c r="O254" s="679">
        <v>243.24040000000008</v>
      </c>
      <c r="P254" s="589" t="s">
        <v>2534</v>
      </c>
      <c r="Q254" s="680">
        <v>336.67839999999967</v>
      </c>
      <c r="R254" s="696"/>
      <c r="S254" s="553"/>
      <c r="T254" s="553"/>
      <c r="U254" s="553"/>
      <c r="V254" s="553"/>
      <c r="W254" s="553"/>
      <c r="X254" s="553"/>
      <c r="Y254" s="553"/>
      <c r="Z254" s="553"/>
      <c r="AA254" s="553"/>
      <c r="AB254" s="554"/>
      <c r="AC254" s="555"/>
      <c r="AD254" s="556"/>
      <c r="AE254" s="556"/>
      <c r="AF254" s="556"/>
      <c r="AG254" s="556"/>
    </row>
    <row r="255" spans="1:33" s="427" customFormat="1">
      <c r="A255" s="585">
        <v>241</v>
      </c>
      <c r="B255" s="587" t="s">
        <v>3589</v>
      </c>
      <c r="C255" s="585">
        <v>241</v>
      </c>
      <c r="D255" s="629" t="s">
        <v>2291</v>
      </c>
      <c r="E255" s="586" t="s">
        <v>3762</v>
      </c>
      <c r="F255" s="675">
        <v>5.0578399999999996E-2</v>
      </c>
      <c r="G255" s="676">
        <v>3463.0023344000001</v>
      </c>
      <c r="H255" s="588">
        <v>487.2</v>
      </c>
      <c r="I255" s="587" t="s">
        <v>601</v>
      </c>
      <c r="J255" s="585">
        <v>2</v>
      </c>
      <c r="K255" s="585" t="s">
        <v>3675</v>
      </c>
      <c r="L255" s="678">
        <v>348</v>
      </c>
      <c r="M255" s="649" t="s">
        <v>2533</v>
      </c>
      <c r="N255" s="679">
        <v>121.62599999999989</v>
      </c>
      <c r="O255" s="679">
        <v>243.24040000000008</v>
      </c>
      <c r="P255" s="589" t="s">
        <v>2534</v>
      </c>
      <c r="Q255" s="680">
        <v>336.67839999999967</v>
      </c>
      <c r="R255" s="696"/>
      <c r="S255" s="553"/>
      <c r="T255" s="553"/>
      <c r="U255" s="553"/>
      <c r="V255" s="553"/>
      <c r="W255" s="553"/>
      <c r="X255" s="553"/>
      <c r="Y255" s="553"/>
      <c r="Z255" s="553"/>
      <c r="AA255" s="553"/>
      <c r="AB255" s="554"/>
      <c r="AC255" s="555"/>
      <c r="AD255" s="556"/>
      <c r="AE255" s="556"/>
      <c r="AF255" s="556"/>
      <c r="AG255" s="556"/>
    </row>
    <row r="256" spans="1:33" s="427" customFormat="1">
      <c r="A256" s="585">
        <v>242</v>
      </c>
      <c r="B256" s="587" t="s">
        <v>3590</v>
      </c>
      <c r="C256" s="585">
        <v>242</v>
      </c>
      <c r="D256" s="629" t="s">
        <v>2291</v>
      </c>
      <c r="E256" s="586" t="s">
        <v>3763</v>
      </c>
      <c r="F256" s="675">
        <v>5.0578399999999996E-2</v>
      </c>
      <c r="G256" s="676">
        <v>3463.0023344000001</v>
      </c>
      <c r="H256" s="588">
        <v>487.2</v>
      </c>
      <c r="I256" s="587" t="s">
        <v>601</v>
      </c>
      <c r="J256" s="585">
        <v>2</v>
      </c>
      <c r="K256" s="585" t="s">
        <v>3676</v>
      </c>
      <c r="L256" s="678">
        <v>348</v>
      </c>
      <c r="M256" s="649" t="s">
        <v>2533</v>
      </c>
      <c r="N256" s="679">
        <v>121.62599999999989</v>
      </c>
      <c r="O256" s="679">
        <v>243.24040000000008</v>
      </c>
      <c r="P256" s="589" t="s">
        <v>2534</v>
      </c>
      <c r="Q256" s="680">
        <v>336.67839999999967</v>
      </c>
      <c r="R256" s="696"/>
      <c r="S256" s="553"/>
      <c r="T256" s="553"/>
      <c r="U256" s="553"/>
      <c r="V256" s="553"/>
      <c r="W256" s="553"/>
      <c r="X256" s="553"/>
      <c r="Y256" s="553"/>
      <c r="Z256" s="553"/>
      <c r="AA256" s="553"/>
      <c r="AB256" s="554"/>
      <c r="AC256" s="555"/>
      <c r="AD256" s="556"/>
      <c r="AE256" s="556"/>
      <c r="AF256" s="556"/>
      <c r="AG256" s="556"/>
    </row>
    <row r="257" spans="1:33" s="427" customFormat="1">
      <c r="A257" s="585">
        <v>243</v>
      </c>
      <c r="B257" s="587" t="s">
        <v>2651</v>
      </c>
      <c r="C257" s="585">
        <v>243</v>
      </c>
      <c r="D257" s="629" t="s">
        <v>2291</v>
      </c>
      <c r="E257" s="586" t="s">
        <v>2446</v>
      </c>
      <c r="F257" s="675">
        <v>5.0578399999999996E-2</v>
      </c>
      <c r="G257" s="676">
        <v>3463.0023344000001</v>
      </c>
      <c r="H257" s="588">
        <v>487.2</v>
      </c>
      <c r="I257" s="587" t="s">
        <v>601</v>
      </c>
      <c r="J257" s="585">
        <v>2</v>
      </c>
      <c r="K257" s="585" t="s">
        <v>675</v>
      </c>
      <c r="L257" s="678">
        <v>348</v>
      </c>
      <c r="M257" s="649" t="s">
        <v>2533</v>
      </c>
      <c r="N257" s="679">
        <v>121.62599999999989</v>
      </c>
      <c r="O257" s="679">
        <v>243.24040000000008</v>
      </c>
      <c r="P257" s="589" t="s">
        <v>2534</v>
      </c>
      <c r="Q257" s="680">
        <v>336.67839999999967</v>
      </c>
      <c r="R257" s="696"/>
      <c r="S257" s="553"/>
      <c r="T257" s="553"/>
      <c r="U257" s="553"/>
      <c r="V257" s="553"/>
      <c r="W257" s="553"/>
      <c r="X257" s="553"/>
      <c r="Y257" s="553"/>
      <c r="Z257" s="553"/>
      <c r="AA257" s="553"/>
      <c r="AB257" s="554"/>
      <c r="AC257" s="555"/>
      <c r="AD257" s="556"/>
      <c r="AE257" s="556"/>
      <c r="AF257" s="556"/>
      <c r="AG257" s="556"/>
    </row>
    <row r="258" spans="1:33" s="427" customFormat="1">
      <c r="A258" s="585">
        <v>244</v>
      </c>
      <c r="B258" s="587" t="s">
        <v>4330</v>
      </c>
      <c r="C258" s="585">
        <v>244</v>
      </c>
      <c r="D258" s="629" t="s">
        <v>2291</v>
      </c>
      <c r="E258" s="586" t="s">
        <v>4331</v>
      </c>
      <c r="F258" s="675">
        <v>4.8639700000000001E-2</v>
      </c>
      <c r="G258" s="676">
        <v>3463.0023344000001</v>
      </c>
      <c r="H258" s="588">
        <v>487.2</v>
      </c>
      <c r="I258" s="587" t="s">
        <v>601</v>
      </c>
      <c r="J258" s="585">
        <v>2</v>
      </c>
      <c r="K258" s="585" t="s">
        <v>4332</v>
      </c>
      <c r="L258" s="678">
        <v>348</v>
      </c>
      <c r="M258" s="649" t="s">
        <v>2533</v>
      </c>
      <c r="N258" s="679">
        <v>121.62599999999989</v>
      </c>
      <c r="O258" s="679">
        <v>243.24040000000008</v>
      </c>
      <c r="P258" s="589" t="s">
        <v>2534</v>
      </c>
      <c r="Q258" s="680">
        <v>336.67839999999967</v>
      </c>
      <c r="R258" s="696"/>
      <c r="S258" s="553"/>
      <c r="T258" s="553"/>
      <c r="U258" s="553"/>
      <c r="V258" s="553"/>
      <c r="W258" s="553"/>
      <c r="X258" s="553"/>
      <c r="Y258" s="553"/>
      <c r="Z258" s="553"/>
      <c r="AA258" s="553"/>
      <c r="AB258" s="554"/>
      <c r="AC258" s="555"/>
      <c r="AD258" s="556"/>
      <c r="AE258" s="556"/>
      <c r="AF258" s="556"/>
      <c r="AG258" s="556"/>
    </row>
    <row r="259" spans="1:33" s="427" customFormat="1">
      <c r="A259" s="585">
        <v>245</v>
      </c>
      <c r="B259" s="587" t="s">
        <v>2663</v>
      </c>
      <c r="C259" s="585">
        <v>245</v>
      </c>
      <c r="D259" s="629" t="s">
        <v>2291</v>
      </c>
      <c r="E259" s="586" t="s">
        <v>2447</v>
      </c>
      <c r="F259" s="675">
        <v>5.0578399999999996E-2</v>
      </c>
      <c r="G259" s="676">
        <v>3463.0023344000001</v>
      </c>
      <c r="H259" s="588">
        <v>487.2</v>
      </c>
      <c r="I259" s="587" t="s">
        <v>601</v>
      </c>
      <c r="J259" s="585">
        <v>2</v>
      </c>
      <c r="K259" s="585" t="s">
        <v>676</v>
      </c>
      <c r="L259" s="678">
        <v>348</v>
      </c>
      <c r="M259" s="649" t="s">
        <v>2533</v>
      </c>
      <c r="N259" s="679">
        <v>121.62599999999989</v>
      </c>
      <c r="O259" s="679">
        <v>243.24040000000008</v>
      </c>
      <c r="P259" s="589" t="s">
        <v>2534</v>
      </c>
      <c r="Q259" s="680">
        <v>336.67839999999967</v>
      </c>
      <c r="R259" s="696"/>
      <c r="S259" s="553"/>
      <c r="T259" s="553"/>
      <c r="U259" s="553"/>
      <c r="V259" s="553"/>
      <c r="W259" s="553"/>
      <c r="X259" s="553"/>
      <c r="Y259" s="553"/>
      <c r="Z259" s="553"/>
      <c r="AA259" s="553"/>
      <c r="AB259" s="554"/>
      <c r="AC259" s="555"/>
      <c r="AD259" s="556"/>
      <c r="AE259" s="556"/>
      <c r="AF259" s="556"/>
      <c r="AG259" s="556"/>
    </row>
    <row r="260" spans="1:33" s="427" customFormat="1">
      <c r="A260" s="585">
        <v>246</v>
      </c>
      <c r="B260" s="587" t="s">
        <v>2652</v>
      </c>
      <c r="C260" s="585">
        <v>246</v>
      </c>
      <c r="D260" s="629" t="s">
        <v>2291</v>
      </c>
      <c r="E260" s="586" t="s">
        <v>2467</v>
      </c>
      <c r="F260" s="675">
        <v>5.0578399999999996E-2</v>
      </c>
      <c r="G260" s="676">
        <v>3463.0023344000001</v>
      </c>
      <c r="H260" s="588">
        <v>487.2</v>
      </c>
      <c r="I260" s="587" t="s">
        <v>601</v>
      </c>
      <c r="J260" s="585">
        <v>2</v>
      </c>
      <c r="K260" s="585" t="s">
        <v>2468</v>
      </c>
      <c r="L260" s="678">
        <v>348</v>
      </c>
      <c r="M260" s="649" t="s">
        <v>2533</v>
      </c>
      <c r="N260" s="679">
        <v>121.62599999999989</v>
      </c>
      <c r="O260" s="679">
        <v>243.24040000000008</v>
      </c>
      <c r="P260" s="589" t="s">
        <v>2534</v>
      </c>
      <c r="Q260" s="680">
        <v>336.67839999999967</v>
      </c>
      <c r="R260" s="696"/>
      <c r="S260" s="553"/>
      <c r="T260" s="553"/>
      <c r="U260" s="553"/>
      <c r="V260" s="553"/>
      <c r="W260" s="553"/>
      <c r="X260" s="553"/>
      <c r="Y260" s="553"/>
      <c r="Z260" s="553"/>
      <c r="AA260" s="553"/>
      <c r="AB260" s="554"/>
      <c r="AC260" s="555"/>
      <c r="AD260" s="556"/>
      <c r="AE260" s="556"/>
      <c r="AF260" s="556"/>
      <c r="AG260" s="556"/>
    </row>
    <row r="261" spans="1:33" s="427" customFormat="1">
      <c r="A261" s="585">
        <v>247</v>
      </c>
      <c r="B261" s="587" t="s">
        <v>2653</v>
      </c>
      <c r="C261" s="585">
        <v>247</v>
      </c>
      <c r="D261" s="629" t="s">
        <v>2291</v>
      </c>
      <c r="E261" s="586" t="s">
        <v>2469</v>
      </c>
      <c r="F261" s="675">
        <v>5.0578399999999996E-2</v>
      </c>
      <c r="G261" s="676">
        <v>3463.0023344000001</v>
      </c>
      <c r="H261" s="588">
        <v>487.2</v>
      </c>
      <c r="I261" s="587" t="s">
        <v>601</v>
      </c>
      <c r="J261" s="585">
        <v>2</v>
      </c>
      <c r="K261" s="585" t="s">
        <v>2470</v>
      </c>
      <c r="L261" s="678">
        <v>348</v>
      </c>
      <c r="M261" s="649" t="s">
        <v>2533</v>
      </c>
      <c r="N261" s="679">
        <v>121.62599999999989</v>
      </c>
      <c r="O261" s="679">
        <v>243.24040000000008</v>
      </c>
      <c r="P261" s="589" t="s">
        <v>2534</v>
      </c>
      <c r="Q261" s="680">
        <v>336.67839999999967</v>
      </c>
      <c r="R261" s="696"/>
      <c r="S261" s="553"/>
      <c r="T261" s="553"/>
      <c r="U261" s="553"/>
      <c r="V261" s="553"/>
      <c r="W261" s="553"/>
      <c r="X261" s="553"/>
      <c r="Y261" s="553"/>
      <c r="Z261" s="553"/>
      <c r="AA261" s="553"/>
      <c r="AB261" s="554"/>
      <c r="AC261" s="555"/>
      <c r="AD261" s="556"/>
      <c r="AE261" s="556"/>
      <c r="AF261" s="556"/>
      <c r="AG261" s="556"/>
    </row>
    <row r="262" spans="1:33" s="427" customFormat="1">
      <c r="A262" s="585">
        <v>248</v>
      </c>
      <c r="B262" s="587" t="s">
        <v>3315</v>
      </c>
      <c r="C262" s="585">
        <v>248</v>
      </c>
      <c r="D262" s="629" t="s">
        <v>2291</v>
      </c>
      <c r="E262" s="586" t="s">
        <v>3332</v>
      </c>
      <c r="F262" s="675">
        <v>5.0578399999999996E-2</v>
      </c>
      <c r="G262" s="676">
        <v>3463.0023344000001</v>
      </c>
      <c r="H262" s="588">
        <v>487.2</v>
      </c>
      <c r="I262" s="587" t="s">
        <v>601</v>
      </c>
      <c r="J262" s="585">
        <v>2</v>
      </c>
      <c r="K262" s="585" t="s">
        <v>3322</v>
      </c>
      <c r="L262" s="678">
        <v>348</v>
      </c>
      <c r="M262" s="649" t="s">
        <v>2533</v>
      </c>
      <c r="N262" s="679">
        <v>121.62599999999989</v>
      </c>
      <c r="O262" s="679">
        <v>243.24040000000008</v>
      </c>
      <c r="P262" s="589" t="s">
        <v>2534</v>
      </c>
      <c r="Q262" s="680">
        <v>336.67839999999967</v>
      </c>
      <c r="R262" s="696"/>
      <c r="S262" s="553"/>
      <c r="T262" s="553"/>
      <c r="U262" s="553"/>
      <c r="V262" s="553"/>
      <c r="W262" s="553"/>
      <c r="X262" s="553"/>
      <c r="Y262" s="553"/>
      <c r="Z262" s="553"/>
      <c r="AA262" s="553"/>
      <c r="AB262" s="554"/>
      <c r="AC262" s="555"/>
      <c r="AD262" s="556"/>
      <c r="AE262" s="556"/>
      <c r="AF262" s="556"/>
      <c r="AG262" s="556"/>
    </row>
    <row r="263" spans="1:33" s="427" customFormat="1">
      <c r="A263" s="585">
        <v>249</v>
      </c>
      <c r="B263" s="587" t="s">
        <v>2654</v>
      </c>
      <c r="C263" s="585">
        <v>249</v>
      </c>
      <c r="D263" s="629" t="s">
        <v>2291</v>
      </c>
      <c r="E263" s="586" t="s">
        <v>2655</v>
      </c>
      <c r="F263" s="675">
        <v>5.0578399999999996E-2</v>
      </c>
      <c r="G263" s="676">
        <v>3463.0023344000001</v>
      </c>
      <c r="H263" s="588">
        <v>487.2</v>
      </c>
      <c r="I263" s="587" t="s">
        <v>601</v>
      </c>
      <c r="J263" s="585">
        <v>2</v>
      </c>
      <c r="K263" s="585" t="s">
        <v>2656</v>
      </c>
      <c r="L263" s="678">
        <v>348</v>
      </c>
      <c r="M263" s="649" t="s">
        <v>2533</v>
      </c>
      <c r="N263" s="679">
        <v>121.62599999999989</v>
      </c>
      <c r="O263" s="679">
        <v>243.24040000000008</v>
      </c>
      <c r="P263" s="589" t="s">
        <v>2534</v>
      </c>
      <c r="Q263" s="680">
        <v>336.67839999999967</v>
      </c>
      <c r="R263" s="696"/>
      <c r="S263" s="553"/>
      <c r="T263" s="553"/>
      <c r="U263" s="553"/>
      <c r="V263" s="553"/>
      <c r="W263" s="553"/>
      <c r="X263" s="553"/>
      <c r="Y263" s="553"/>
      <c r="Z263" s="553"/>
      <c r="AA263" s="553"/>
      <c r="AB263" s="554"/>
      <c r="AC263" s="555"/>
      <c r="AD263" s="556"/>
      <c r="AE263" s="556"/>
      <c r="AF263" s="556"/>
      <c r="AG263" s="556"/>
    </row>
    <row r="264" spans="1:33" s="427" customFormat="1">
      <c r="A264" s="585">
        <v>250</v>
      </c>
      <c r="B264" s="587" t="s">
        <v>2657</v>
      </c>
      <c r="C264" s="585">
        <v>250</v>
      </c>
      <c r="D264" s="629" t="s">
        <v>2291</v>
      </c>
      <c r="E264" s="586" t="s">
        <v>2658</v>
      </c>
      <c r="F264" s="675">
        <v>5.0578399999999996E-2</v>
      </c>
      <c r="G264" s="676">
        <v>3463.0023344000001</v>
      </c>
      <c r="H264" s="588">
        <v>487.2</v>
      </c>
      <c r="I264" s="587" t="s">
        <v>601</v>
      </c>
      <c r="J264" s="585">
        <v>2</v>
      </c>
      <c r="K264" s="585" t="s">
        <v>2659</v>
      </c>
      <c r="L264" s="678">
        <v>348</v>
      </c>
      <c r="M264" s="649" t="s">
        <v>2533</v>
      </c>
      <c r="N264" s="679">
        <v>121.62599999999989</v>
      </c>
      <c r="O264" s="679">
        <v>243.24040000000008</v>
      </c>
      <c r="P264" s="589" t="s">
        <v>2534</v>
      </c>
      <c r="Q264" s="680">
        <v>336.67839999999967</v>
      </c>
      <c r="R264" s="696"/>
      <c r="S264" s="553"/>
      <c r="T264" s="553"/>
      <c r="U264" s="553"/>
      <c r="V264" s="553"/>
      <c r="W264" s="553"/>
      <c r="X264" s="553"/>
      <c r="Y264" s="553"/>
      <c r="Z264" s="553"/>
      <c r="AA264" s="553"/>
      <c r="AB264" s="554"/>
      <c r="AC264" s="555"/>
      <c r="AD264" s="556"/>
      <c r="AE264" s="556"/>
      <c r="AF264" s="556"/>
      <c r="AG264" s="556"/>
    </row>
    <row r="265" spans="1:33" s="427" customFormat="1">
      <c r="A265" s="585">
        <v>251</v>
      </c>
      <c r="B265" s="587" t="s">
        <v>2660</v>
      </c>
      <c r="C265" s="585">
        <v>251</v>
      </c>
      <c r="D265" s="629" t="s">
        <v>2291</v>
      </c>
      <c r="E265" s="586" t="s">
        <v>2661</v>
      </c>
      <c r="F265" s="675">
        <v>5.0578399999999996E-2</v>
      </c>
      <c r="G265" s="676">
        <v>3463.0023344000001</v>
      </c>
      <c r="H265" s="588">
        <v>487.2</v>
      </c>
      <c r="I265" s="587" t="s">
        <v>601</v>
      </c>
      <c r="J265" s="585">
        <v>2</v>
      </c>
      <c r="K265" s="585" t="s">
        <v>2662</v>
      </c>
      <c r="L265" s="678">
        <v>348</v>
      </c>
      <c r="M265" s="649" t="s">
        <v>2533</v>
      </c>
      <c r="N265" s="679">
        <v>121.62599999999989</v>
      </c>
      <c r="O265" s="679">
        <v>243.24040000000008</v>
      </c>
      <c r="P265" s="589" t="s">
        <v>2534</v>
      </c>
      <c r="Q265" s="680">
        <v>336.67839999999967</v>
      </c>
      <c r="R265" s="696"/>
      <c r="S265" s="553"/>
      <c r="T265" s="553"/>
      <c r="U265" s="553"/>
      <c r="V265" s="553"/>
      <c r="W265" s="553"/>
      <c r="X265" s="553"/>
      <c r="Y265" s="553"/>
      <c r="Z265" s="553"/>
      <c r="AA265" s="553"/>
      <c r="AB265" s="554"/>
      <c r="AC265" s="555"/>
      <c r="AD265" s="556"/>
      <c r="AE265" s="556"/>
      <c r="AF265" s="556"/>
      <c r="AG265" s="556"/>
    </row>
    <row r="266" spans="1:33" s="427" customFormat="1">
      <c r="A266" s="585">
        <v>252</v>
      </c>
      <c r="B266" s="587" t="s">
        <v>5134</v>
      </c>
      <c r="C266" s="585">
        <v>252</v>
      </c>
      <c r="D266" s="629" t="s">
        <v>3764</v>
      </c>
      <c r="E266" s="586" t="s">
        <v>5146</v>
      </c>
      <c r="F266" s="675">
        <v>4.7321000000000002E-2</v>
      </c>
      <c r="G266" s="676">
        <v>11870.23</v>
      </c>
      <c r="H266" s="588">
        <v>487.2</v>
      </c>
      <c r="I266" s="587" t="s">
        <v>3793</v>
      </c>
      <c r="J266" s="585">
        <v>3</v>
      </c>
      <c r="K266" s="585" t="s">
        <v>5158</v>
      </c>
      <c r="L266" s="678">
        <v>0</v>
      </c>
      <c r="M266" s="649" t="s">
        <v>2533</v>
      </c>
      <c r="N266" s="679">
        <v>415.31500000000051</v>
      </c>
      <c r="O266" s="679">
        <v>830.63000000000102</v>
      </c>
      <c r="P266" s="589" t="s">
        <v>2534</v>
      </c>
      <c r="Q266" s="680">
        <v>0</v>
      </c>
      <c r="R266" s="696"/>
      <c r="S266" s="553"/>
      <c r="T266" s="553"/>
      <c r="U266" s="553"/>
      <c r="V266" s="553"/>
      <c r="W266" s="553"/>
      <c r="X266" s="553"/>
      <c r="Y266" s="553"/>
      <c r="Z266" s="553"/>
      <c r="AA266" s="553"/>
      <c r="AB266" s="554"/>
      <c r="AC266" s="555"/>
      <c r="AD266" s="556"/>
      <c r="AE266" s="556"/>
      <c r="AF266" s="556"/>
      <c r="AG266" s="556"/>
    </row>
    <row r="267" spans="1:33" s="427" customFormat="1">
      <c r="A267" s="585">
        <v>253</v>
      </c>
      <c r="B267" s="587" t="s">
        <v>10412</v>
      </c>
      <c r="C267" s="585">
        <v>253</v>
      </c>
      <c r="D267" s="629" t="s">
        <v>3764</v>
      </c>
      <c r="E267" s="586" t="s">
        <v>10446</v>
      </c>
      <c r="F267" s="675">
        <v>3.1363000000000002E-2</v>
      </c>
      <c r="G267" s="676">
        <v>7453.37</v>
      </c>
      <c r="H267" s="588">
        <v>487.2</v>
      </c>
      <c r="I267" s="587" t="s">
        <v>3793</v>
      </c>
      <c r="J267" s="585">
        <v>3</v>
      </c>
      <c r="K267" s="585" t="s">
        <v>3677</v>
      </c>
      <c r="L267" s="678">
        <v>0</v>
      </c>
      <c r="M267" s="649" t="s">
        <v>2533</v>
      </c>
      <c r="N267" s="679">
        <v>298.14</v>
      </c>
      <c r="O267" s="679">
        <v>596.29</v>
      </c>
      <c r="P267" s="589" t="s">
        <v>2534</v>
      </c>
      <c r="Q267" s="680">
        <v>0</v>
      </c>
      <c r="R267" s="696"/>
      <c r="S267" s="553"/>
      <c r="T267" s="553"/>
      <c r="U267" s="553"/>
      <c r="V267" s="553"/>
      <c r="W267" s="553"/>
      <c r="X267" s="553"/>
      <c r="Y267" s="553"/>
      <c r="Z267" s="553"/>
      <c r="AA267" s="553"/>
      <c r="AB267" s="554"/>
      <c r="AC267" s="555"/>
      <c r="AD267" s="556"/>
      <c r="AE267" s="556"/>
      <c r="AF267" s="556"/>
      <c r="AG267" s="556"/>
    </row>
    <row r="268" spans="1:33" s="427" customFormat="1">
      <c r="A268" s="585">
        <v>254</v>
      </c>
      <c r="B268" s="587" t="s">
        <v>4497</v>
      </c>
      <c r="C268" s="585">
        <v>254</v>
      </c>
      <c r="D268" s="629" t="s">
        <v>3764</v>
      </c>
      <c r="E268" s="586" t="s">
        <v>4502</v>
      </c>
      <c r="F268" s="675">
        <v>2.8934000000000001E-2</v>
      </c>
      <c r="G268" s="676">
        <v>8154.31</v>
      </c>
      <c r="H268" s="588">
        <v>487.2</v>
      </c>
      <c r="I268" s="587" t="s">
        <v>3793</v>
      </c>
      <c r="J268" s="585">
        <v>3</v>
      </c>
      <c r="K268" s="585" t="s">
        <v>4507</v>
      </c>
      <c r="L268" s="678">
        <v>0</v>
      </c>
      <c r="M268" s="649" t="s">
        <v>2533</v>
      </c>
      <c r="N268" s="679">
        <v>330.29</v>
      </c>
      <c r="O268" s="679">
        <v>660.56</v>
      </c>
      <c r="P268" s="589" t="s">
        <v>2534</v>
      </c>
      <c r="Q268" s="680">
        <v>0</v>
      </c>
      <c r="R268" s="696"/>
      <c r="S268" s="553"/>
      <c r="T268" s="553"/>
      <c r="U268" s="553"/>
      <c r="V268" s="553"/>
      <c r="W268" s="553"/>
      <c r="X268" s="553"/>
      <c r="Y268" s="553"/>
      <c r="Z268" s="553"/>
      <c r="AA268" s="553"/>
      <c r="AB268" s="554"/>
      <c r="AC268" s="555"/>
      <c r="AD268" s="556"/>
      <c r="AE268" s="556"/>
      <c r="AF268" s="556"/>
      <c r="AG268" s="556"/>
    </row>
    <row r="269" spans="1:33" s="427" customFormat="1">
      <c r="A269" s="585">
        <v>255</v>
      </c>
      <c r="B269" s="587" t="s">
        <v>10413</v>
      </c>
      <c r="C269" s="585">
        <v>255</v>
      </c>
      <c r="D269" s="629" t="s">
        <v>3764</v>
      </c>
      <c r="E269" s="586" t="s">
        <v>10447</v>
      </c>
      <c r="F269" s="675">
        <v>2.6136E-2</v>
      </c>
      <c r="G269" s="676">
        <v>8691.42</v>
      </c>
      <c r="H269" s="588">
        <v>487.2</v>
      </c>
      <c r="I269" s="587" t="s">
        <v>3793</v>
      </c>
      <c r="J269" s="585">
        <v>3</v>
      </c>
      <c r="K269" s="585" t="s">
        <v>10478</v>
      </c>
      <c r="L269" s="678">
        <v>0</v>
      </c>
      <c r="M269" s="649" t="s">
        <v>2533</v>
      </c>
      <c r="N269" s="679">
        <v>354.90200000000084</v>
      </c>
      <c r="O269" s="679">
        <v>709.80400000000066</v>
      </c>
      <c r="P269" s="589" t="s">
        <v>2534</v>
      </c>
      <c r="Q269" s="680">
        <v>0</v>
      </c>
      <c r="R269" s="696"/>
      <c r="S269" s="553"/>
      <c r="T269" s="553"/>
      <c r="U269" s="553"/>
      <c r="V269" s="553"/>
      <c r="W269" s="553"/>
      <c r="X269" s="553"/>
      <c r="Y269" s="553"/>
      <c r="Z269" s="553"/>
      <c r="AA269" s="553"/>
      <c r="AB269" s="554"/>
      <c r="AC269" s="555"/>
      <c r="AD269" s="556"/>
      <c r="AE269" s="556"/>
      <c r="AF269" s="556"/>
      <c r="AG269" s="556"/>
    </row>
    <row r="270" spans="1:33" s="427" customFormat="1">
      <c r="A270" s="585">
        <v>256</v>
      </c>
      <c r="B270" s="587" t="s">
        <v>4333</v>
      </c>
      <c r="C270" s="585">
        <v>256</v>
      </c>
      <c r="D270" s="629" t="s">
        <v>3764</v>
      </c>
      <c r="E270" s="586" t="s">
        <v>4334</v>
      </c>
      <c r="F270" s="675">
        <v>2.8934000000000001E-2</v>
      </c>
      <c r="G270" s="676">
        <v>8154.31</v>
      </c>
      <c r="H270" s="588">
        <v>487.2</v>
      </c>
      <c r="I270" s="587" t="s">
        <v>3793</v>
      </c>
      <c r="J270" s="585">
        <v>3</v>
      </c>
      <c r="K270" s="585" t="s">
        <v>4335</v>
      </c>
      <c r="L270" s="678">
        <v>0</v>
      </c>
      <c r="M270" s="649" t="s">
        <v>2533</v>
      </c>
      <c r="N270" s="679">
        <v>330.29</v>
      </c>
      <c r="O270" s="679">
        <v>660.56</v>
      </c>
      <c r="P270" s="589" t="s">
        <v>2534</v>
      </c>
      <c r="Q270" s="680">
        <v>0</v>
      </c>
      <c r="R270" s="696"/>
      <c r="S270" s="553"/>
      <c r="T270" s="553"/>
      <c r="U270" s="553"/>
      <c r="V270" s="553"/>
      <c r="W270" s="553"/>
      <c r="X270" s="553"/>
      <c r="Y270" s="553"/>
      <c r="Z270" s="553"/>
      <c r="AA270" s="553"/>
      <c r="AB270" s="554"/>
      <c r="AC270" s="555"/>
      <c r="AD270" s="556"/>
      <c r="AE270" s="556"/>
      <c r="AF270" s="556"/>
      <c r="AG270" s="556"/>
    </row>
    <row r="271" spans="1:33" s="427" customFormat="1">
      <c r="A271" s="585">
        <v>257</v>
      </c>
      <c r="B271" s="587" t="s">
        <v>4524</v>
      </c>
      <c r="C271" s="585">
        <v>257</v>
      </c>
      <c r="D271" s="629" t="s">
        <v>3764</v>
      </c>
      <c r="E271" s="586" t="s">
        <v>4530</v>
      </c>
      <c r="F271" s="675">
        <v>2.8934000000000001E-2</v>
      </c>
      <c r="G271" s="676">
        <v>8154.31</v>
      </c>
      <c r="H271" s="588">
        <v>487.2</v>
      </c>
      <c r="I271" s="587" t="s">
        <v>3793</v>
      </c>
      <c r="J271" s="585">
        <v>3</v>
      </c>
      <c r="K271" s="585" t="s">
        <v>4536</v>
      </c>
      <c r="L271" s="678">
        <v>0</v>
      </c>
      <c r="M271" s="649" t="s">
        <v>2533</v>
      </c>
      <c r="N271" s="679">
        <v>284.73</v>
      </c>
      <c r="O271" s="679">
        <v>569.44999999999982</v>
      </c>
      <c r="P271" s="589" t="s">
        <v>2534</v>
      </c>
      <c r="Q271" s="680">
        <v>0</v>
      </c>
      <c r="R271" s="696"/>
      <c r="S271" s="553"/>
      <c r="T271" s="553"/>
      <c r="U271" s="553"/>
      <c r="V271" s="553"/>
      <c r="W271" s="553"/>
      <c r="X271" s="553"/>
      <c r="Y271" s="553"/>
      <c r="Z271" s="553"/>
      <c r="AA271" s="553"/>
      <c r="AB271" s="554"/>
      <c r="AC271" s="555"/>
      <c r="AD271" s="556"/>
      <c r="AE271" s="556"/>
      <c r="AF271" s="556"/>
      <c r="AG271" s="556"/>
    </row>
    <row r="272" spans="1:33" s="427" customFormat="1">
      <c r="A272" s="585">
        <v>258</v>
      </c>
      <c r="B272" s="587" t="s">
        <v>4386</v>
      </c>
      <c r="C272" s="585">
        <v>258</v>
      </c>
      <c r="D272" s="629" t="s">
        <v>3764</v>
      </c>
      <c r="E272" s="586" t="s">
        <v>4376</v>
      </c>
      <c r="F272" s="675">
        <v>2.8934000000000001E-2</v>
      </c>
      <c r="G272" s="676">
        <v>8154.31</v>
      </c>
      <c r="H272" s="588">
        <v>487.2</v>
      </c>
      <c r="I272" s="587" t="s">
        <v>3793</v>
      </c>
      <c r="J272" s="585">
        <v>3</v>
      </c>
      <c r="K272" s="585" t="s">
        <v>4377</v>
      </c>
      <c r="L272" s="678">
        <v>0</v>
      </c>
      <c r="M272" s="649" t="s">
        <v>2533</v>
      </c>
      <c r="N272" s="679">
        <v>330.29</v>
      </c>
      <c r="O272" s="679">
        <v>660.56</v>
      </c>
      <c r="P272" s="589" t="s">
        <v>2534</v>
      </c>
      <c r="Q272" s="680">
        <v>0</v>
      </c>
      <c r="R272" s="696"/>
      <c r="S272" s="553"/>
      <c r="T272" s="553"/>
      <c r="U272" s="553"/>
      <c r="V272" s="553"/>
      <c r="W272" s="553"/>
      <c r="X272" s="553"/>
      <c r="Y272" s="553"/>
      <c r="Z272" s="553"/>
      <c r="AA272" s="553"/>
      <c r="AB272" s="554"/>
      <c r="AC272" s="555"/>
      <c r="AD272" s="556"/>
      <c r="AE272" s="556"/>
      <c r="AF272" s="556"/>
      <c r="AG272" s="556"/>
    </row>
    <row r="273" spans="1:33" s="427" customFormat="1">
      <c r="A273" s="585">
        <v>259</v>
      </c>
      <c r="B273" s="587" t="s">
        <v>4525</v>
      </c>
      <c r="C273" s="585">
        <v>259</v>
      </c>
      <c r="D273" s="629" t="s">
        <v>3764</v>
      </c>
      <c r="E273" s="586" t="s">
        <v>4531</v>
      </c>
      <c r="F273" s="675">
        <v>2.6136E-2</v>
      </c>
      <c r="G273" s="676">
        <v>8691.42</v>
      </c>
      <c r="H273" s="588">
        <v>487.2</v>
      </c>
      <c r="I273" s="587" t="s">
        <v>3793</v>
      </c>
      <c r="J273" s="585">
        <v>3</v>
      </c>
      <c r="K273" s="585" t="s">
        <v>4537</v>
      </c>
      <c r="L273" s="678">
        <v>0</v>
      </c>
      <c r="M273" s="649" t="s">
        <v>2533</v>
      </c>
      <c r="N273" s="679">
        <v>305.95000000000073</v>
      </c>
      <c r="O273" s="679">
        <v>611.90000000000055</v>
      </c>
      <c r="P273" s="589" t="s">
        <v>2534</v>
      </c>
      <c r="Q273" s="680">
        <v>0</v>
      </c>
      <c r="R273" s="696"/>
      <c r="S273" s="553"/>
      <c r="T273" s="553"/>
      <c r="U273" s="553"/>
      <c r="V273" s="553"/>
      <c r="W273" s="553"/>
      <c r="X273" s="553"/>
      <c r="Y273" s="553"/>
      <c r="Z273" s="553"/>
      <c r="AA273" s="553"/>
      <c r="AB273" s="554"/>
      <c r="AC273" s="555"/>
      <c r="AD273" s="556"/>
      <c r="AE273" s="556"/>
      <c r="AF273" s="556"/>
      <c r="AG273" s="556"/>
    </row>
    <row r="274" spans="1:33" s="427" customFormat="1">
      <c r="A274" s="585">
        <v>260</v>
      </c>
      <c r="B274" s="587" t="s">
        <v>3591</v>
      </c>
      <c r="C274" s="585">
        <v>260</v>
      </c>
      <c r="D274" s="629" t="s">
        <v>2292</v>
      </c>
      <c r="E274" s="586" t="s">
        <v>2465</v>
      </c>
      <c r="F274" s="675">
        <v>5.0458100000000006E-2</v>
      </c>
      <c r="G274" s="676">
        <v>3463.0023344000001</v>
      </c>
      <c r="H274" s="588">
        <v>487.2</v>
      </c>
      <c r="I274" s="587" t="s">
        <v>601</v>
      </c>
      <c r="J274" s="585">
        <v>2</v>
      </c>
      <c r="K274" s="585" t="s">
        <v>3678</v>
      </c>
      <c r="L274" s="678">
        <v>348</v>
      </c>
      <c r="M274" s="649" t="s">
        <v>2533</v>
      </c>
      <c r="N274" s="679">
        <v>121.62599999999989</v>
      </c>
      <c r="O274" s="679">
        <v>243.24040000000008</v>
      </c>
      <c r="P274" s="589" t="s">
        <v>2534</v>
      </c>
      <c r="Q274" s="680">
        <v>336.67839999999967</v>
      </c>
      <c r="R274" s="696"/>
      <c r="S274" s="553"/>
      <c r="T274" s="553"/>
      <c r="U274" s="553"/>
      <c r="V274" s="553"/>
      <c r="W274" s="553"/>
      <c r="X274" s="553"/>
      <c r="Y274" s="553"/>
      <c r="Z274" s="553"/>
      <c r="AA274" s="553"/>
      <c r="AB274" s="554"/>
      <c r="AC274" s="555"/>
      <c r="AD274" s="556"/>
      <c r="AE274" s="556"/>
      <c r="AF274" s="556"/>
      <c r="AG274" s="556"/>
    </row>
    <row r="275" spans="1:33" s="427" customFormat="1">
      <c r="A275" s="585">
        <v>261</v>
      </c>
      <c r="B275" s="587" t="s">
        <v>2664</v>
      </c>
      <c r="C275" s="585">
        <v>261</v>
      </c>
      <c r="D275" s="629" t="s">
        <v>2292</v>
      </c>
      <c r="E275" s="586" t="s">
        <v>2422</v>
      </c>
      <c r="F275" s="675">
        <v>5.0458100000000006E-2</v>
      </c>
      <c r="G275" s="676">
        <v>3463.0023344000001</v>
      </c>
      <c r="H275" s="588">
        <v>487.2</v>
      </c>
      <c r="I275" s="587" t="s">
        <v>601</v>
      </c>
      <c r="J275" s="585">
        <v>2</v>
      </c>
      <c r="K275" s="585" t="s">
        <v>677</v>
      </c>
      <c r="L275" s="678">
        <v>348</v>
      </c>
      <c r="M275" s="649" t="s">
        <v>2533</v>
      </c>
      <c r="N275" s="679">
        <v>121.62599999999989</v>
      </c>
      <c r="O275" s="679">
        <v>243.24040000000008</v>
      </c>
      <c r="P275" s="589" t="s">
        <v>2534</v>
      </c>
      <c r="Q275" s="680">
        <v>336.67839999999967</v>
      </c>
      <c r="R275" s="696"/>
      <c r="S275" s="553"/>
      <c r="T275" s="553"/>
      <c r="U275" s="553"/>
      <c r="V275" s="553"/>
      <c r="W275" s="553"/>
      <c r="X275" s="553"/>
      <c r="Y275" s="553"/>
      <c r="Z275" s="553"/>
      <c r="AA275" s="553"/>
      <c r="AB275" s="554"/>
      <c r="AC275" s="555"/>
      <c r="AD275" s="556"/>
      <c r="AE275" s="556"/>
      <c r="AF275" s="556"/>
      <c r="AG275" s="556"/>
    </row>
    <row r="276" spans="1:33" s="427" customFormat="1">
      <c r="A276" s="585">
        <v>262</v>
      </c>
      <c r="B276" s="587" t="s">
        <v>2665</v>
      </c>
      <c r="C276" s="585">
        <v>262</v>
      </c>
      <c r="D276" s="629" t="s">
        <v>2292</v>
      </c>
      <c r="E276" s="586" t="s">
        <v>2448</v>
      </c>
      <c r="F276" s="675">
        <v>4.5495799999999996E-2</v>
      </c>
      <c r="G276" s="676">
        <v>2538.48</v>
      </c>
      <c r="H276" s="588">
        <v>487.2</v>
      </c>
      <c r="I276" s="587" t="s">
        <v>549</v>
      </c>
      <c r="J276" s="585">
        <v>1</v>
      </c>
      <c r="K276" s="585" t="s">
        <v>678</v>
      </c>
      <c r="L276" s="678">
        <v>348</v>
      </c>
      <c r="M276" s="649" t="s">
        <v>2533</v>
      </c>
      <c r="N276" s="679">
        <v>67.071199999999919</v>
      </c>
      <c r="O276" s="679">
        <v>134.15400000000011</v>
      </c>
      <c r="P276" s="589" t="s">
        <v>2534</v>
      </c>
      <c r="Q276" s="680">
        <v>336.67839999999967</v>
      </c>
      <c r="R276" s="696"/>
      <c r="S276" s="553"/>
      <c r="T276" s="553"/>
      <c r="U276" s="553"/>
      <c r="V276" s="553"/>
      <c r="W276" s="553"/>
      <c r="X276" s="553"/>
      <c r="Y276" s="553"/>
      <c r="Z276" s="553"/>
      <c r="AA276" s="553"/>
      <c r="AB276" s="554"/>
      <c r="AC276" s="555"/>
      <c r="AD276" s="556"/>
      <c r="AE276" s="556"/>
      <c r="AF276" s="556"/>
      <c r="AG276" s="556"/>
    </row>
    <row r="277" spans="1:33" s="427" customFormat="1">
      <c r="A277" s="585">
        <v>263</v>
      </c>
      <c r="B277" s="587" t="s">
        <v>2666</v>
      </c>
      <c r="C277" s="585">
        <v>263</v>
      </c>
      <c r="D277" s="629" t="s">
        <v>2292</v>
      </c>
      <c r="E277" s="586" t="s">
        <v>2424</v>
      </c>
      <c r="F277" s="675">
        <v>4.8639700000000001E-2</v>
      </c>
      <c r="G277" s="676">
        <v>3463.0023344000001</v>
      </c>
      <c r="H277" s="588">
        <v>487.2</v>
      </c>
      <c r="I277" s="587" t="s">
        <v>601</v>
      </c>
      <c r="J277" s="585">
        <v>2</v>
      </c>
      <c r="K277" s="585" t="s">
        <v>679</v>
      </c>
      <c r="L277" s="678">
        <v>348</v>
      </c>
      <c r="M277" s="649" t="s">
        <v>2533</v>
      </c>
      <c r="N277" s="679">
        <v>121.62599999999989</v>
      </c>
      <c r="O277" s="679">
        <v>243.24040000000008</v>
      </c>
      <c r="P277" s="589" t="s">
        <v>2534</v>
      </c>
      <c r="Q277" s="680">
        <v>336.67839999999967</v>
      </c>
      <c r="R277" s="696"/>
      <c r="S277" s="553"/>
      <c r="T277" s="553"/>
      <c r="U277" s="553"/>
      <c r="V277" s="553"/>
      <c r="W277" s="553"/>
      <c r="X277" s="553"/>
      <c r="Y277" s="553"/>
      <c r="Z277" s="553"/>
      <c r="AA277" s="553"/>
      <c r="AB277" s="554"/>
      <c r="AC277" s="555"/>
      <c r="AD277" s="556"/>
      <c r="AE277" s="556"/>
      <c r="AF277" s="556"/>
      <c r="AG277" s="556"/>
    </row>
    <row r="278" spans="1:33" s="427" customFormat="1">
      <c r="A278" s="585">
        <v>264</v>
      </c>
      <c r="B278" s="587" t="s">
        <v>2667</v>
      </c>
      <c r="C278" s="585">
        <v>264</v>
      </c>
      <c r="D278" s="629" t="s">
        <v>2292</v>
      </c>
      <c r="E278" s="586" t="s">
        <v>2449</v>
      </c>
      <c r="F278" s="675">
        <v>5.1864600000000004E-2</v>
      </c>
      <c r="G278" s="676">
        <v>3463.0023344000001</v>
      </c>
      <c r="H278" s="588">
        <v>487.2</v>
      </c>
      <c r="I278" s="587" t="s">
        <v>601</v>
      </c>
      <c r="J278" s="585">
        <v>2</v>
      </c>
      <c r="K278" s="585" t="s">
        <v>680</v>
      </c>
      <c r="L278" s="678">
        <v>348</v>
      </c>
      <c r="M278" s="649" t="s">
        <v>2533</v>
      </c>
      <c r="N278" s="679">
        <v>121.62599999999989</v>
      </c>
      <c r="O278" s="679">
        <v>243.24040000000008</v>
      </c>
      <c r="P278" s="589" t="s">
        <v>2534</v>
      </c>
      <c r="Q278" s="680">
        <v>336.67839999999967</v>
      </c>
      <c r="R278" s="696"/>
      <c r="S278" s="553"/>
      <c r="T278" s="553"/>
      <c r="U278" s="553"/>
      <c r="V278" s="553"/>
      <c r="W278" s="553"/>
      <c r="X278" s="553"/>
      <c r="Y278" s="553"/>
      <c r="Z278" s="553"/>
      <c r="AA278" s="553"/>
      <c r="AB278" s="554"/>
      <c r="AC278" s="555"/>
      <c r="AD278" s="556"/>
      <c r="AE278" s="556"/>
      <c r="AF278" s="556"/>
      <c r="AG278" s="556"/>
    </row>
    <row r="279" spans="1:33" s="427" customFormat="1">
      <c r="A279" s="585">
        <v>265</v>
      </c>
      <c r="B279" s="587" t="s">
        <v>2668</v>
      </c>
      <c r="C279" s="585">
        <v>265</v>
      </c>
      <c r="D279" s="629" t="s">
        <v>2292</v>
      </c>
      <c r="E279" s="586" t="s">
        <v>188</v>
      </c>
      <c r="F279" s="675">
        <v>4.8639700000000001E-2</v>
      </c>
      <c r="G279" s="676">
        <v>3463.0023344000001</v>
      </c>
      <c r="H279" s="588">
        <v>487.2</v>
      </c>
      <c r="I279" s="587" t="s">
        <v>601</v>
      </c>
      <c r="J279" s="585">
        <v>2</v>
      </c>
      <c r="K279" s="585" t="s">
        <v>681</v>
      </c>
      <c r="L279" s="678">
        <v>348</v>
      </c>
      <c r="M279" s="649" t="s">
        <v>2533</v>
      </c>
      <c r="N279" s="679">
        <v>121.62599999999989</v>
      </c>
      <c r="O279" s="679">
        <v>243.24040000000008</v>
      </c>
      <c r="P279" s="589" t="s">
        <v>2534</v>
      </c>
      <c r="Q279" s="680">
        <v>336.67839999999967</v>
      </c>
      <c r="R279" s="696"/>
      <c r="S279" s="553"/>
      <c r="T279" s="553"/>
      <c r="U279" s="553"/>
      <c r="V279" s="553"/>
      <c r="W279" s="553"/>
      <c r="X279" s="553"/>
      <c r="Y279" s="553"/>
      <c r="Z279" s="553"/>
      <c r="AA279" s="553"/>
      <c r="AB279" s="554"/>
      <c r="AC279" s="555"/>
      <c r="AD279" s="556"/>
      <c r="AE279" s="556"/>
      <c r="AF279" s="556"/>
      <c r="AG279" s="556"/>
    </row>
    <row r="280" spans="1:33" s="427" customFormat="1">
      <c r="A280" s="585">
        <v>266</v>
      </c>
      <c r="B280" s="587" t="s">
        <v>5135</v>
      </c>
      <c r="C280" s="585">
        <v>266</v>
      </c>
      <c r="D280" s="629" t="s">
        <v>2293</v>
      </c>
      <c r="E280" s="586" t="s">
        <v>5147</v>
      </c>
      <c r="F280" s="675">
        <v>6.2548500000000007E-2</v>
      </c>
      <c r="G280" s="676">
        <v>3463.0023344000001</v>
      </c>
      <c r="H280" s="588">
        <v>487.2</v>
      </c>
      <c r="I280" s="587" t="s">
        <v>601</v>
      </c>
      <c r="J280" s="585">
        <v>2</v>
      </c>
      <c r="K280" s="585" t="s">
        <v>5159</v>
      </c>
      <c r="L280" s="678">
        <v>348</v>
      </c>
      <c r="M280" s="649" t="s">
        <v>2533</v>
      </c>
      <c r="N280" s="679">
        <v>121.62599999999989</v>
      </c>
      <c r="O280" s="679">
        <v>243.24040000000008</v>
      </c>
      <c r="P280" s="589" t="s">
        <v>2534</v>
      </c>
      <c r="Q280" s="680">
        <v>336.67839999999967</v>
      </c>
      <c r="R280" s="696"/>
      <c r="S280" s="553"/>
      <c r="T280" s="553"/>
      <c r="U280" s="553"/>
      <c r="V280" s="553"/>
      <c r="W280" s="553"/>
      <c r="X280" s="553"/>
      <c r="Y280" s="553"/>
      <c r="Z280" s="553"/>
      <c r="AA280" s="553"/>
      <c r="AB280" s="554"/>
      <c r="AC280" s="555"/>
      <c r="AD280" s="556"/>
      <c r="AE280" s="556"/>
      <c r="AF280" s="556"/>
      <c r="AG280" s="556"/>
    </row>
    <row r="281" spans="1:33" s="427" customFormat="1">
      <c r="A281" s="585">
        <v>267</v>
      </c>
      <c r="B281" s="587" t="s">
        <v>2669</v>
      </c>
      <c r="C281" s="585">
        <v>267</v>
      </c>
      <c r="D281" s="629" t="s">
        <v>2293</v>
      </c>
      <c r="E281" s="586" t="s">
        <v>189</v>
      </c>
      <c r="F281" s="675">
        <v>4.0640900000000001E-2</v>
      </c>
      <c r="G281" s="676">
        <v>2538.48</v>
      </c>
      <c r="H281" s="588">
        <v>487.2</v>
      </c>
      <c r="I281" s="587" t="s">
        <v>549</v>
      </c>
      <c r="J281" s="585">
        <v>1</v>
      </c>
      <c r="K281" s="585" t="s">
        <v>682</v>
      </c>
      <c r="L281" s="678">
        <v>348</v>
      </c>
      <c r="M281" s="649" t="s">
        <v>2533</v>
      </c>
      <c r="N281" s="679">
        <v>67.071199999999919</v>
      </c>
      <c r="O281" s="679">
        <v>134.15400000000011</v>
      </c>
      <c r="P281" s="589" t="s">
        <v>2534</v>
      </c>
      <c r="Q281" s="680">
        <v>336.67839999999967</v>
      </c>
      <c r="R281" s="696"/>
      <c r="S281" s="553"/>
      <c r="T281" s="553"/>
      <c r="U281" s="553"/>
      <c r="V281" s="553"/>
      <c r="W281" s="553"/>
      <c r="X281" s="553"/>
      <c r="Y281" s="553"/>
      <c r="Z281" s="553"/>
      <c r="AA281" s="553"/>
      <c r="AB281" s="554"/>
      <c r="AC281" s="555"/>
      <c r="AD281" s="556"/>
      <c r="AE281" s="556"/>
      <c r="AF281" s="556"/>
      <c r="AG281" s="556"/>
    </row>
    <row r="282" spans="1:33" s="427" customFormat="1">
      <c r="A282" s="585">
        <v>268</v>
      </c>
      <c r="B282" s="587" t="s">
        <v>2670</v>
      </c>
      <c r="C282" s="585">
        <v>268</v>
      </c>
      <c r="D282" s="629" t="s">
        <v>2293</v>
      </c>
      <c r="E282" s="586" t="s">
        <v>190</v>
      </c>
      <c r="F282" s="675">
        <v>4.0384000000000003E-2</v>
      </c>
      <c r="G282" s="676">
        <v>2538.48</v>
      </c>
      <c r="H282" s="588">
        <v>487.2</v>
      </c>
      <c r="I282" s="587" t="s">
        <v>549</v>
      </c>
      <c r="J282" s="585">
        <v>1</v>
      </c>
      <c r="K282" s="585" t="s">
        <v>683</v>
      </c>
      <c r="L282" s="678">
        <v>348</v>
      </c>
      <c r="M282" s="649" t="s">
        <v>2533</v>
      </c>
      <c r="N282" s="679">
        <v>67.071199999999919</v>
      </c>
      <c r="O282" s="679">
        <v>134.15400000000011</v>
      </c>
      <c r="P282" s="589" t="s">
        <v>2534</v>
      </c>
      <c r="Q282" s="680">
        <v>336.67839999999967</v>
      </c>
      <c r="R282" s="696"/>
      <c r="S282" s="553"/>
      <c r="T282" s="553"/>
      <c r="U282" s="553"/>
      <c r="V282" s="553"/>
      <c r="W282" s="553"/>
      <c r="X282" s="553"/>
      <c r="Y282" s="553"/>
      <c r="Z282" s="553"/>
      <c r="AA282" s="553"/>
      <c r="AB282" s="554"/>
      <c r="AC282" s="555"/>
      <c r="AD282" s="556"/>
      <c r="AE282" s="556"/>
      <c r="AF282" s="556"/>
      <c r="AG282" s="556"/>
    </row>
    <row r="283" spans="1:33" s="427" customFormat="1">
      <c r="A283" s="585">
        <v>269</v>
      </c>
      <c r="B283" s="587" t="s">
        <v>2671</v>
      </c>
      <c r="C283" s="585">
        <v>269</v>
      </c>
      <c r="D283" s="629" t="s">
        <v>2293</v>
      </c>
      <c r="E283" s="586" t="s">
        <v>191</v>
      </c>
      <c r="F283" s="675">
        <v>3.6670399999999999E-2</v>
      </c>
      <c r="G283" s="676">
        <v>2538.48</v>
      </c>
      <c r="H283" s="588">
        <v>487.2</v>
      </c>
      <c r="I283" s="587" t="s">
        <v>549</v>
      </c>
      <c r="J283" s="585">
        <v>1</v>
      </c>
      <c r="K283" s="585" t="s">
        <v>684</v>
      </c>
      <c r="L283" s="678">
        <v>348</v>
      </c>
      <c r="M283" s="649" t="s">
        <v>2533</v>
      </c>
      <c r="N283" s="679">
        <v>67.071199999999919</v>
      </c>
      <c r="O283" s="679">
        <v>134.15400000000011</v>
      </c>
      <c r="P283" s="589" t="s">
        <v>2534</v>
      </c>
      <c r="Q283" s="680">
        <v>336.67839999999967</v>
      </c>
      <c r="R283" s="696"/>
      <c r="S283" s="553"/>
      <c r="T283" s="553"/>
      <c r="U283" s="553"/>
      <c r="V283" s="553"/>
      <c r="W283" s="553"/>
      <c r="X283" s="553"/>
      <c r="Y283" s="553"/>
      <c r="Z283" s="553"/>
      <c r="AA283" s="553"/>
      <c r="AB283" s="554"/>
      <c r="AC283" s="555"/>
      <c r="AD283" s="556"/>
      <c r="AE283" s="556"/>
      <c r="AF283" s="556"/>
      <c r="AG283" s="556"/>
    </row>
    <row r="284" spans="1:33" s="427" customFormat="1">
      <c r="A284" s="585">
        <v>270</v>
      </c>
      <c r="B284" s="587" t="s">
        <v>2672</v>
      </c>
      <c r="C284" s="585">
        <v>270</v>
      </c>
      <c r="D284" s="629" t="s">
        <v>2293</v>
      </c>
      <c r="E284" s="586" t="s">
        <v>192</v>
      </c>
      <c r="F284" s="675">
        <v>3.9244500000000002E-2</v>
      </c>
      <c r="G284" s="676">
        <v>2538.48</v>
      </c>
      <c r="H284" s="588">
        <v>487.2</v>
      </c>
      <c r="I284" s="587" t="s">
        <v>549</v>
      </c>
      <c r="J284" s="585">
        <v>1</v>
      </c>
      <c r="K284" s="585" t="s">
        <v>685</v>
      </c>
      <c r="L284" s="678">
        <v>348</v>
      </c>
      <c r="M284" s="649" t="s">
        <v>2533</v>
      </c>
      <c r="N284" s="679">
        <v>67.071199999999919</v>
      </c>
      <c r="O284" s="679">
        <v>134.15400000000011</v>
      </c>
      <c r="P284" s="589" t="s">
        <v>2534</v>
      </c>
      <c r="Q284" s="680">
        <v>336.67839999999967</v>
      </c>
      <c r="R284" s="696"/>
      <c r="S284" s="553"/>
      <c r="T284" s="553"/>
      <c r="U284" s="553"/>
      <c r="V284" s="553"/>
      <c r="W284" s="553"/>
      <c r="X284" s="553"/>
      <c r="Y284" s="553"/>
      <c r="Z284" s="553"/>
      <c r="AA284" s="553"/>
      <c r="AB284" s="554"/>
      <c r="AC284" s="555"/>
      <c r="AD284" s="556"/>
      <c r="AE284" s="556"/>
      <c r="AF284" s="556"/>
      <c r="AG284" s="556"/>
    </row>
    <row r="285" spans="1:33">
      <c r="A285" s="585">
        <v>271</v>
      </c>
      <c r="B285" s="587" t="s">
        <v>3386</v>
      </c>
      <c r="C285" s="585">
        <v>271</v>
      </c>
      <c r="D285" s="629" t="s">
        <v>2293</v>
      </c>
      <c r="E285" s="586" t="s">
        <v>3414</v>
      </c>
      <c r="F285" s="675">
        <v>3.9244500000000002E-2</v>
      </c>
      <c r="G285" s="676">
        <v>2538.48</v>
      </c>
      <c r="H285" s="588">
        <v>487.2</v>
      </c>
      <c r="I285" s="587" t="s">
        <v>549</v>
      </c>
      <c r="J285" s="585">
        <v>1</v>
      </c>
      <c r="K285" s="585" t="s">
        <v>3440</v>
      </c>
      <c r="L285" s="678">
        <v>348</v>
      </c>
      <c r="M285" s="649" t="s">
        <v>2533</v>
      </c>
      <c r="N285" s="679">
        <v>67.071199999999919</v>
      </c>
      <c r="O285" s="679">
        <v>134.15400000000011</v>
      </c>
      <c r="P285" s="589" t="s">
        <v>2534</v>
      </c>
      <c r="Q285" s="680">
        <v>336.67839999999967</v>
      </c>
      <c r="R285" s="696"/>
      <c r="S285" s="553"/>
      <c r="T285" s="553"/>
      <c r="U285" s="553"/>
      <c r="V285" s="553"/>
      <c r="W285" s="553"/>
      <c r="X285" s="553"/>
      <c r="Y285" s="553"/>
      <c r="Z285" s="553"/>
      <c r="AA285" s="553"/>
      <c r="AB285" s="554"/>
      <c r="AC285" s="555"/>
      <c r="AD285" s="556"/>
      <c r="AE285" s="556"/>
      <c r="AF285" s="556"/>
      <c r="AG285" s="556"/>
    </row>
    <row r="286" spans="1:33">
      <c r="A286" s="585">
        <v>272</v>
      </c>
      <c r="B286" s="587" t="s">
        <v>2673</v>
      </c>
      <c r="C286" s="585">
        <v>272</v>
      </c>
      <c r="D286" s="629" t="s">
        <v>2293</v>
      </c>
      <c r="E286" s="586" t="s">
        <v>193</v>
      </c>
      <c r="F286" s="675">
        <v>3.2890500000000003E-2</v>
      </c>
      <c r="G286" s="676">
        <v>2538.48</v>
      </c>
      <c r="H286" s="588">
        <v>487.2</v>
      </c>
      <c r="I286" s="587" t="s">
        <v>549</v>
      </c>
      <c r="J286" s="585">
        <v>1</v>
      </c>
      <c r="K286" s="585" t="s">
        <v>686</v>
      </c>
      <c r="L286" s="678">
        <v>348</v>
      </c>
      <c r="M286" s="649" t="s">
        <v>2533</v>
      </c>
      <c r="N286" s="679">
        <v>67.071199999999919</v>
      </c>
      <c r="O286" s="679">
        <v>134.15400000000011</v>
      </c>
      <c r="P286" s="589" t="s">
        <v>2534</v>
      </c>
      <c r="Q286" s="680">
        <v>336.67839999999967</v>
      </c>
      <c r="R286" s="696"/>
      <c r="S286" s="553"/>
      <c r="T286" s="553"/>
      <c r="U286" s="553"/>
      <c r="V286" s="553"/>
      <c r="W286" s="553"/>
      <c r="X286" s="553"/>
      <c r="Y286" s="553"/>
      <c r="Z286" s="553"/>
      <c r="AA286" s="553"/>
      <c r="AB286" s="554"/>
      <c r="AC286" s="555"/>
      <c r="AD286" s="556"/>
      <c r="AE286" s="556"/>
      <c r="AF286" s="556"/>
      <c r="AG286" s="556"/>
    </row>
    <row r="287" spans="1:33">
      <c r="A287" s="585">
        <v>273</v>
      </c>
      <c r="B287" s="587" t="s">
        <v>2674</v>
      </c>
      <c r="C287" s="585">
        <v>273</v>
      </c>
      <c r="D287" s="629" t="s">
        <v>2293</v>
      </c>
      <c r="E287" s="586" t="s">
        <v>2675</v>
      </c>
      <c r="F287" s="675">
        <v>3.9430100000000003E-2</v>
      </c>
      <c r="G287" s="676">
        <v>2538.48</v>
      </c>
      <c r="H287" s="588">
        <v>487.2</v>
      </c>
      <c r="I287" s="587" t="s">
        <v>549</v>
      </c>
      <c r="J287" s="585">
        <v>1</v>
      </c>
      <c r="K287" s="585" t="s">
        <v>2676</v>
      </c>
      <c r="L287" s="678">
        <v>348</v>
      </c>
      <c r="M287" s="649" t="s">
        <v>2533</v>
      </c>
      <c r="N287" s="679">
        <v>67.071199999999919</v>
      </c>
      <c r="O287" s="679">
        <v>134.15400000000011</v>
      </c>
      <c r="P287" s="589" t="s">
        <v>2534</v>
      </c>
      <c r="Q287" s="680">
        <v>336.67839999999967</v>
      </c>
      <c r="R287" s="696"/>
      <c r="S287" s="553"/>
      <c r="T287" s="553"/>
      <c r="U287" s="553"/>
      <c r="V287" s="553"/>
      <c r="W287" s="553"/>
      <c r="X287" s="553"/>
      <c r="Y287" s="553"/>
      <c r="Z287" s="553"/>
      <c r="AA287" s="553"/>
      <c r="AB287" s="554"/>
      <c r="AC287" s="555"/>
      <c r="AD287" s="556"/>
      <c r="AE287" s="556"/>
      <c r="AF287" s="556"/>
      <c r="AG287" s="556"/>
    </row>
    <row r="288" spans="1:33">
      <c r="A288" s="585">
        <v>274</v>
      </c>
      <c r="B288" s="587" t="s">
        <v>3316</v>
      </c>
      <c r="C288" s="585">
        <v>274</v>
      </c>
      <c r="D288" s="629" t="s">
        <v>2293</v>
      </c>
      <c r="E288" s="586" t="s">
        <v>3331</v>
      </c>
      <c r="F288" s="675">
        <v>3.2890500000000003E-2</v>
      </c>
      <c r="G288" s="676">
        <v>2538.48</v>
      </c>
      <c r="H288" s="588">
        <v>487.2</v>
      </c>
      <c r="I288" s="587" t="s">
        <v>549</v>
      </c>
      <c r="J288" s="585">
        <v>1</v>
      </c>
      <c r="K288" s="585" t="s">
        <v>3323</v>
      </c>
      <c r="L288" s="678">
        <v>348</v>
      </c>
      <c r="M288" s="649" t="s">
        <v>2533</v>
      </c>
      <c r="N288" s="679">
        <v>67.071199999999919</v>
      </c>
      <c r="O288" s="679">
        <v>134.15400000000011</v>
      </c>
      <c r="P288" s="589" t="s">
        <v>2534</v>
      </c>
      <c r="Q288" s="680">
        <v>336.67839999999967</v>
      </c>
      <c r="R288" s="696"/>
      <c r="S288" s="553"/>
      <c r="T288" s="553"/>
      <c r="U288" s="553"/>
      <c r="V288" s="553"/>
      <c r="W288" s="553"/>
      <c r="X288" s="553"/>
      <c r="Y288" s="553"/>
      <c r="Z288" s="553"/>
      <c r="AA288" s="553"/>
      <c r="AB288" s="554"/>
      <c r="AC288" s="555"/>
      <c r="AD288" s="556"/>
      <c r="AE288" s="556"/>
      <c r="AF288" s="556"/>
      <c r="AG288" s="556"/>
    </row>
    <row r="289" spans="1:33">
      <c r="A289" s="585">
        <v>275</v>
      </c>
      <c r="B289" s="587" t="s">
        <v>2677</v>
      </c>
      <c r="C289" s="585">
        <v>275</v>
      </c>
      <c r="D289" s="629" t="s">
        <v>2293</v>
      </c>
      <c r="E289" s="586" t="s">
        <v>194</v>
      </c>
      <c r="F289" s="675">
        <v>4.4337299999999996E-2</v>
      </c>
      <c r="G289" s="676">
        <v>2538.48</v>
      </c>
      <c r="H289" s="588">
        <v>487.2</v>
      </c>
      <c r="I289" s="587" t="s">
        <v>549</v>
      </c>
      <c r="J289" s="585">
        <v>1</v>
      </c>
      <c r="K289" s="585" t="s">
        <v>687</v>
      </c>
      <c r="L289" s="678">
        <v>348</v>
      </c>
      <c r="M289" s="649" t="s">
        <v>2533</v>
      </c>
      <c r="N289" s="679">
        <v>67.071199999999919</v>
      </c>
      <c r="O289" s="679">
        <v>134.15400000000011</v>
      </c>
      <c r="P289" s="589" t="s">
        <v>2534</v>
      </c>
      <c r="Q289" s="680">
        <v>336.67839999999967</v>
      </c>
      <c r="R289" s="696"/>
      <c r="S289" s="553"/>
      <c r="T289" s="553"/>
      <c r="U289" s="553"/>
      <c r="V289" s="553"/>
      <c r="W289" s="553"/>
      <c r="X289" s="553"/>
      <c r="Y289" s="553"/>
      <c r="Z289" s="553"/>
      <c r="AA289" s="553"/>
      <c r="AB289" s="554"/>
      <c r="AC289" s="555"/>
      <c r="AD289" s="556"/>
      <c r="AE289" s="556"/>
      <c r="AF289" s="556"/>
      <c r="AG289" s="556"/>
    </row>
    <row r="290" spans="1:33">
      <c r="A290" s="585">
        <v>276</v>
      </c>
      <c r="B290" s="587" t="s">
        <v>3592</v>
      </c>
      <c r="C290" s="585">
        <v>276</v>
      </c>
      <c r="D290" s="629" t="s">
        <v>2293</v>
      </c>
      <c r="E290" s="586" t="s">
        <v>3765</v>
      </c>
      <c r="F290" s="675">
        <v>4.7789700000000004E-2</v>
      </c>
      <c r="G290" s="676">
        <v>2538.48</v>
      </c>
      <c r="H290" s="588">
        <v>487.2</v>
      </c>
      <c r="I290" s="587" t="s">
        <v>549</v>
      </c>
      <c r="J290" s="585">
        <v>1</v>
      </c>
      <c r="K290" s="585" t="s">
        <v>3679</v>
      </c>
      <c r="L290" s="678">
        <v>348</v>
      </c>
      <c r="M290" s="649" t="s">
        <v>2533</v>
      </c>
      <c r="N290" s="679">
        <v>67.071199999999919</v>
      </c>
      <c r="O290" s="679">
        <v>134.15400000000011</v>
      </c>
      <c r="P290" s="589" t="s">
        <v>2534</v>
      </c>
      <c r="Q290" s="680">
        <v>336.67839999999967</v>
      </c>
      <c r="R290" s="696"/>
      <c r="S290" s="553"/>
      <c r="T290" s="553"/>
      <c r="U290" s="553"/>
      <c r="V290" s="553"/>
      <c r="W290" s="553"/>
      <c r="X290" s="553"/>
      <c r="Y290" s="553"/>
      <c r="Z290" s="553"/>
      <c r="AA290" s="553"/>
      <c r="AB290" s="554"/>
      <c r="AC290" s="555"/>
      <c r="AD290" s="556"/>
      <c r="AE290" s="556"/>
      <c r="AF290" s="556"/>
      <c r="AG290" s="556"/>
    </row>
    <row r="291" spans="1:33">
      <c r="A291" s="585">
        <v>277</v>
      </c>
      <c r="B291" s="587" t="s">
        <v>2678</v>
      </c>
      <c r="C291" s="585">
        <v>277</v>
      </c>
      <c r="D291" s="629" t="s">
        <v>2293</v>
      </c>
      <c r="E291" s="586" t="s">
        <v>195</v>
      </c>
      <c r="F291" s="675">
        <v>4.4337299999999996E-2</v>
      </c>
      <c r="G291" s="676">
        <v>2538.48</v>
      </c>
      <c r="H291" s="588">
        <v>487.2</v>
      </c>
      <c r="I291" s="587" t="s">
        <v>549</v>
      </c>
      <c r="J291" s="585">
        <v>1</v>
      </c>
      <c r="K291" s="585" t="s">
        <v>688</v>
      </c>
      <c r="L291" s="678">
        <v>348</v>
      </c>
      <c r="M291" s="649" t="s">
        <v>2533</v>
      </c>
      <c r="N291" s="679">
        <v>67.071199999999919</v>
      </c>
      <c r="O291" s="679">
        <v>134.15400000000011</v>
      </c>
      <c r="P291" s="589" t="s">
        <v>2534</v>
      </c>
      <c r="Q291" s="680">
        <v>336.67839999999967</v>
      </c>
      <c r="R291" s="696"/>
      <c r="S291" s="553"/>
      <c r="T291" s="553"/>
      <c r="U291" s="553"/>
      <c r="V291" s="553"/>
      <c r="W291" s="553"/>
      <c r="X291" s="553"/>
      <c r="Y291" s="553"/>
      <c r="Z291" s="553"/>
      <c r="AA291" s="553"/>
      <c r="AB291" s="554"/>
      <c r="AC291" s="555"/>
      <c r="AD291" s="556"/>
      <c r="AE291" s="556"/>
      <c r="AF291" s="556"/>
      <c r="AG291" s="556"/>
    </row>
    <row r="292" spans="1:33">
      <c r="A292" s="585">
        <v>278</v>
      </c>
      <c r="B292" s="587" t="s">
        <v>2679</v>
      </c>
      <c r="C292" s="585">
        <v>278</v>
      </c>
      <c r="D292" s="629" t="s">
        <v>2293</v>
      </c>
      <c r="E292" s="586" t="s">
        <v>196</v>
      </c>
      <c r="F292" s="675">
        <v>4.7789700000000004E-2</v>
      </c>
      <c r="G292" s="676">
        <v>2538.48</v>
      </c>
      <c r="H292" s="588">
        <v>487.2</v>
      </c>
      <c r="I292" s="587" t="s">
        <v>549</v>
      </c>
      <c r="J292" s="585">
        <v>1</v>
      </c>
      <c r="K292" s="585" t="s">
        <v>689</v>
      </c>
      <c r="L292" s="678">
        <v>348</v>
      </c>
      <c r="M292" s="649" t="s">
        <v>2533</v>
      </c>
      <c r="N292" s="679">
        <v>67.071199999999919</v>
      </c>
      <c r="O292" s="679">
        <v>134.15400000000011</v>
      </c>
      <c r="P292" s="589" t="s">
        <v>2534</v>
      </c>
      <c r="Q292" s="680">
        <v>336.67839999999967</v>
      </c>
      <c r="R292" s="696"/>
      <c r="S292" s="553"/>
      <c r="T292" s="553"/>
      <c r="U292" s="553"/>
      <c r="V292" s="553"/>
      <c r="W292" s="553"/>
      <c r="X292" s="553"/>
      <c r="Y292" s="553"/>
      <c r="Z292" s="553"/>
      <c r="AA292" s="553"/>
      <c r="AB292" s="554"/>
      <c r="AC292" s="555"/>
      <c r="AD292" s="556"/>
      <c r="AE292" s="556"/>
      <c r="AF292" s="556"/>
      <c r="AG292" s="556"/>
    </row>
    <row r="293" spans="1:33">
      <c r="A293" s="585">
        <v>279</v>
      </c>
      <c r="B293" s="587" t="s">
        <v>2680</v>
      </c>
      <c r="C293" s="585">
        <v>279</v>
      </c>
      <c r="D293" s="629" t="s">
        <v>2293</v>
      </c>
      <c r="E293" s="586" t="s">
        <v>197</v>
      </c>
      <c r="F293" s="675">
        <v>4.77478E-2</v>
      </c>
      <c r="G293" s="676">
        <v>2538.48</v>
      </c>
      <c r="H293" s="588">
        <v>487.2</v>
      </c>
      <c r="I293" s="587" t="s">
        <v>549</v>
      </c>
      <c r="J293" s="585">
        <v>1</v>
      </c>
      <c r="K293" s="585" t="s">
        <v>690</v>
      </c>
      <c r="L293" s="678">
        <v>348</v>
      </c>
      <c r="M293" s="649" t="s">
        <v>2533</v>
      </c>
      <c r="N293" s="679">
        <v>67.071199999999919</v>
      </c>
      <c r="O293" s="679">
        <v>134.15400000000011</v>
      </c>
      <c r="P293" s="589" t="s">
        <v>2534</v>
      </c>
      <c r="Q293" s="680">
        <v>336.67839999999967</v>
      </c>
      <c r="R293" s="696"/>
      <c r="S293" s="553"/>
      <c r="T293" s="553"/>
      <c r="U293" s="553"/>
      <c r="V293" s="553"/>
      <c r="W293" s="553"/>
      <c r="X293" s="553"/>
      <c r="Y293" s="553"/>
      <c r="Z293" s="553"/>
      <c r="AA293" s="553"/>
      <c r="AB293" s="554"/>
      <c r="AC293" s="555"/>
      <c r="AD293" s="556"/>
      <c r="AE293" s="556"/>
      <c r="AF293" s="556"/>
      <c r="AG293" s="556"/>
    </row>
    <row r="294" spans="1:33">
      <c r="A294" s="585">
        <v>280</v>
      </c>
      <c r="B294" s="587" t="s">
        <v>2681</v>
      </c>
      <c r="C294" s="585">
        <v>280</v>
      </c>
      <c r="D294" s="629" t="s">
        <v>2293</v>
      </c>
      <c r="E294" s="586" t="s">
        <v>2682</v>
      </c>
      <c r="F294" s="675">
        <v>4.4337299999999996E-2</v>
      </c>
      <c r="G294" s="676">
        <v>2538.48</v>
      </c>
      <c r="H294" s="588">
        <v>487.2</v>
      </c>
      <c r="I294" s="587" t="s">
        <v>549</v>
      </c>
      <c r="J294" s="585">
        <v>1</v>
      </c>
      <c r="K294" s="585" t="s">
        <v>2683</v>
      </c>
      <c r="L294" s="678">
        <v>348</v>
      </c>
      <c r="M294" s="649" t="s">
        <v>2533</v>
      </c>
      <c r="N294" s="679">
        <v>67.071199999999919</v>
      </c>
      <c r="O294" s="679">
        <v>134.15400000000011</v>
      </c>
      <c r="P294" s="589" t="s">
        <v>2534</v>
      </c>
      <c r="Q294" s="680">
        <v>336.67839999999967</v>
      </c>
      <c r="R294" s="696"/>
      <c r="S294" s="553"/>
      <c r="T294" s="553"/>
      <c r="U294" s="553"/>
      <c r="V294" s="553"/>
      <c r="W294" s="553"/>
      <c r="X294" s="553"/>
      <c r="Y294" s="553"/>
      <c r="Z294" s="553"/>
      <c r="AA294" s="553"/>
      <c r="AB294" s="554"/>
      <c r="AC294" s="555"/>
      <c r="AD294" s="556"/>
      <c r="AE294" s="556"/>
      <c r="AF294" s="556"/>
      <c r="AG294" s="556"/>
    </row>
    <row r="295" spans="1:33">
      <c r="A295" s="585">
        <v>281</v>
      </c>
      <c r="B295" s="587" t="s">
        <v>2684</v>
      </c>
      <c r="C295" s="585">
        <v>281</v>
      </c>
      <c r="D295" s="629" t="s">
        <v>2293</v>
      </c>
      <c r="E295" s="586" t="s">
        <v>198</v>
      </c>
      <c r="F295" s="675">
        <v>4.71467E-2</v>
      </c>
      <c r="G295" s="676">
        <v>2538.48</v>
      </c>
      <c r="H295" s="588">
        <v>487.2</v>
      </c>
      <c r="I295" s="587" t="s">
        <v>549</v>
      </c>
      <c r="J295" s="585">
        <v>1</v>
      </c>
      <c r="K295" s="585" t="s">
        <v>691</v>
      </c>
      <c r="L295" s="678">
        <v>348</v>
      </c>
      <c r="M295" s="649" t="s">
        <v>2533</v>
      </c>
      <c r="N295" s="679">
        <v>67.071199999999919</v>
      </c>
      <c r="O295" s="679">
        <v>134.15400000000011</v>
      </c>
      <c r="P295" s="589" t="s">
        <v>2534</v>
      </c>
      <c r="Q295" s="680">
        <v>336.67839999999967</v>
      </c>
      <c r="R295" s="696"/>
      <c r="S295" s="553"/>
      <c r="T295" s="553"/>
      <c r="U295" s="553"/>
      <c r="V295" s="553"/>
      <c r="W295" s="553"/>
      <c r="X295" s="553"/>
      <c r="Y295" s="553"/>
      <c r="Z295" s="553"/>
      <c r="AA295" s="553"/>
      <c r="AB295" s="554"/>
      <c r="AC295" s="555"/>
      <c r="AD295" s="556"/>
      <c r="AE295" s="556"/>
      <c r="AF295" s="556"/>
      <c r="AG295" s="556"/>
    </row>
    <row r="296" spans="1:33">
      <c r="A296" s="585">
        <v>282</v>
      </c>
      <c r="B296" s="587" t="s">
        <v>2685</v>
      </c>
      <c r="C296" s="585">
        <v>282</v>
      </c>
      <c r="D296" s="629" t="s">
        <v>2293</v>
      </c>
      <c r="E296" s="586" t="s">
        <v>2686</v>
      </c>
      <c r="F296" s="675">
        <v>4.4337299999999996E-2</v>
      </c>
      <c r="G296" s="676">
        <v>2538.48</v>
      </c>
      <c r="H296" s="588">
        <v>487.2</v>
      </c>
      <c r="I296" s="587" t="s">
        <v>549</v>
      </c>
      <c r="J296" s="585">
        <v>1</v>
      </c>
      <c r="K296" s="585" t="s">
        <v>2687</v>
      </c>
      <c r="L296" s="678">
        <v>348</v>
      </c>
      <c r="M296" s="649" t="s">
        <v>2533</v>
      </c>
      <c r="N296" s="679">
        <v>67.071199999999919</v>
      </c>
      <c r="O296" s="679">
        <v>134.15400000000011</v>
      </c>
      <c r="P296" s="589" t="s">
        <v>2534</v>
      </c>
      <c r="Q296" s="680">
        <v>336.67839999999967</v>
      </c>
      <c r="R296" s="696"/>
      <c r="S296" s="553"/>
      <c r="T296" s="553"/>
      <c r="U296" s="553"/>
      <c r="V296" s="553"/>
      <c r="W296" s="553"/>
      <c r="X296" s="553"/>
      <c r="Y296" s="553"/>
      <c r="Z296" s="553"/>
      <c r="AA296" s="553"/>
      <c r="AB296" s="554"/>
      <c r="AC296" s="555"/>
      <c r="AD296" s="556"/>
      <c r="AE296" s="556"/>
      <c r="AF296" s="556"/>
      <c r="AG296" s="556"/>
    </row>
    <row r="297" spans="1:33">
      <c r="A297" s="585">
        <v>283</v>
      </c>
      <c r="B297" s="587" t="s">
        <v>2688</v>
      </c>
      <c r="C297" s="585">
        <v>283</v>
      </c>
      <c r="D297" s="629" t="s">
        <v>2293</v>
      </c>
      <c r="E297" s="586" t="s">
        <v>199</v>
      </c>
      <c r="F297" s="675">
        <v>7.1622199999999997E-2</v>
      </c>
      <c r="G297" s="676">
        <v>2538.48</v>
      </c>
      <c r="H297" s="588">
        <v>487.2</v>
      </c>
      <c r="I297" s="587" t="s">
        <v>549</v>
      </c>
      <c r="J297" s="585">
        <v>1</v>
      </c>
      <c r="K297" s="585" t="s">
        <v>692</v>
      </c>
      <c r="L297" s="678">
        <v>348</v>
      </c>
      <c r="M297" s="649" t="s">
        <v>2533</v>
      </c>
      <c r="N297" s="679">
        <v>67.071199999999919</v>
      </c>
      <c r="O297" s="679">
        <v>134.15400000000011</v>
      </c>
      <c r="P297" s="589" t="s">
        <v>2534</v>
      </c>
      <c r="Q297" s="680">
        <v>336.67839999999967</v>
      </c>
      <c r="R297" s="696"/>
      <c r="S297" s="553"/>
      <c r="T297" s="553"/>
      <c r="U297" s="553"/>
      <c r="V297" s="553"/>
      <c r="W297" s="553"/>
      <c r="X297" s="553"/>
      <c r="Y297" s="553"/>
      <c r="Z297" s="553"/>
      <c r="AA297" s="553"/>
      <c r="AB297" s="554"/>
      <c r="AC297" s="555"/>
      <c r="AD297" s="556"/>
      <c r="AE297" s="556"/>
      <c r="AF297" s="556"/>
      <c r="AG297" s="556"/>
    </row>
    <row r="298" spans="1:33">
      <c r="A298" s="585">
        <v>284</v>
      </c>
      <c r="B298" s="587" t="s">
        <v>2689</v>
      </c>
      <c r="C298" s="585">
        <v>284</v>
      </c>
      <c r="D298" s="629" t="s">
        <v>2293</v>
      </c>
      <c r="E298" s="586" t="s">
        <v>200</v>
      </c>
      <c r="F298" s="675">
        <v>3.9169000000000002E-2</v>
      </c>
      <c r="G298" s="676">
        <v>2538.48</v>
      </c>
      <c r="H298" s="588">
        <v>487.2</v>
      </c>
      <c r="I298" s="587" t="s">
        <v>549</v>
      </c>
      <c r="J298" s="585">
        <v>1</v>
      </c>
      <c r="K298" s="585" t="s">
        <v>693</v>
      </c>
      <c r="L298" s="678">
        <v>348</v>
      </c>
      <c r="M298" s="649" t="s">
        <v>2533</v>
      </c>
      <c r="N298" s="679">
        <v>67.071199999999919</v>
      </c>
      <c r="O298" s="679">
        <v>134.15400000000011</v>
      </c>
      <c r="P298" s="589" t="s">
        <v>2534</v>
      </c>
      <c r="Q298" s="680">
        <v>336.67839999999967</v>
      </c>
      <c r="R298" s="696"/>
      <c r="S298" s="553"/>
      <c r="T298" s="553"/>
      <c r="U298" s="553"/>
      <c r="V298" s="553"/>
      <c r="W298" s="553"/>
      <c r="X298" s="553"/>
      <c r="Y298" s="553"/>
      <c r="Z298" s="553"/>
      <c r="AA298" s="553"/>
      <c r="AB298" s="554"/>
      <c r="AC298" s="555"/>
      <c r="AD298" s="556"/>
      <c r="AE298" s="556"/>
      <c r="AF298" s="556"/>
      <c r="AG298" s="556"/>
    </row>
    <row r="299" spans="1:33">
      <c r="A299" s="585">
        <v>285</v>
      </c>
      <c r="B299" s="587" t="s">
        <v>2690</v>
      </c>
      <c r="C299" s="585">
        <v>285</v>
      </c>
      <c r="D299" s="629" t="s">
        <v>2293</v>
      </c>
      <c r="E299" s="586" t="s">
        <v>201</v>
      </c>
      <c r="F299" s="675">
        <v>6.3891299999999998E-2</v>
      </c>
      <c r="G299" s="676">
        <v>3463.0023344000001</v>
      </c>
      <c r="H299" s="588">
        <v>487.2</v>
      </c>
      <c r="I299" s="587" t="s">
        <v>601</v>
      </c>
      <c r="J299" s="585">
        <v>2</v>
      </c>
      <c r="K299" s="585" t="s">
        <v>694</v>
      </c>
      <c r="L299" s="678">
        <v>348</v>
      </c>
      <c r="M299" s="649" t="s">
        <v>2533</v>
      </c>
      <c r="N299" s="679">
        <v>121.62599999999989</v>
      </c>
      <c r="O299" s="679">
        <v>243.24040000000008</v>
      </c>
      <c r="P299" s="589" t="s">
        <v>2534</v>
      </c>
      <c r="Q299" s="680">
        <v>336.67839999999967</v>
      </c>
      <c r="R299" s="696"/>
      <c r="S299" s="553"/>
      <c r="T299" s="553"/>
      <c r="U299" s="553"/>
      <c r="V299" s="553"/>
      <c r="W299" s="553"/>
      <c r="X299" s="553"/>
      <c r="Y299" s="553"/>
      <c r="Z299" s="553"/>
      <c r="AA299" s="553"/>
      <c r="AB299" s="554"/>
      <c r="AC299" s="555"/>
      <c r="AD299" s="556"/>
      <c r="AE299" s="556"/>
      <c r="AF299" s="556"/>
      <c r="AG299" s="556"/>
    </row>
    <row r="300" spans="1:33">
      <c r="A300" s="585">
        <v>286</v>
      </c>
      <c r="B300" s="587" t="s">
        <v>2691</v>
      </c>
      <c r="C300" s="585">
        <v>286</v>
      </c>
      <c r="D300" s="629" t="s">
        <v>2293</v>
      </c>
      <c r="E300" s="586" t="s">
        <v>202</v>
      </c>
      <c r="F300" s="675">
        <v>4.7482900000000001E-2</v>
      </c>
      <c r="G300" s="676">
        <v>2538.48</v>
      </c>
      <c r="H300" s="588">
        <v>487.2</v>
      </c>
      <c r="I300" s="587" t="s">
        <v>549</v>
      </c>
      <c r="J300" s="585">
        <v>1</v>
      </c>
      <c r="K300" s="585" t="s">
        <v>695</v>
      </c>
      <c r="L300" s="678">
        <v>348</v>
      </c>
      <c r="M300" s="649" t="s">
        <v>2533</v>
      </c>
      <c r="N300" s="679">
        <v>67.071199999999919</v>
      </c>
      <c r="O300" s="679">
        <v>134.15400000000011</v>
      </c>
      <c r="P300" s="589" t="s">
        <v>2534</v>
      </c>
      <c r="Q300" s="680">
        <v>336.67839999999967</v>
      </c>
      <c r="R300" s="696"/>
      <c r="S300" s="553"/>
      <c r="T300" s="553"/>
      <c r="U300" s="553"/>
      <c r="V300" s="553"/>
      <c r="W300" s="553"/>
      <c r="X300" s="553"/>
      <c r="Y300" s="553"/>
      <c r="Z300" s="553"/>
      <c r="AA300" s="553"/>
      <c r="AB300" s="554"/>
      <c r="AC300" s="555"/>
      <c r="AD300" s="556"/>
      <c r="AE300" s="556"/>
      <c r="AF300" s="556"/>
      <c r="AG300" s="556"/>
    </row>
    <row r="301" spans="1:33">
      <c r="A301" s="585">
        <v>287</v>
      </c>
      <c r="B301" s="587" t="s">
        <v>2692</v>
      </c>
      <c r="C301" s="585">
        <v>287</v>
      </c>
      <c r="D301" s="629" t="s">
        <v>2293</v>
      </c>
      <c r="E301" s="586" t="s">
        <v>203</v>
      </c>
      <c r="F301" s="675">
        <v>4.7482900000000001E-2</v>
      </c>
      <c r="G301" s="676">
        <v>2538.48</v>
      </c>
      <c r="H301" s="588">
        <v>487.2</v>
      </c>
      <c r="I301" s="587" t="s">
        <v>549</v>
      </c>
      <c r="J301" s="585">
        <v>1</v>
      </c>
      <c r="K301" s="585" t="s">
        <v>696</v>
      </c>
      <c r="L301" s="678">
        <v>348</v>
      </c>
      <c r="M301" s="649" t="s">
        <v>2533</v>
      </c>
      <c r="N301" s="679">
        <v>67.071199999999919</v>
      </c>
      <c r="O301" s="679">
        <v>134.15400000000011</v>
      </c>
      <c r="P301" s="589" t="s">
        <v>2534</v>
      </c>
      <c r="Q301" s="680">
        <v>336.67839999999967</v>
      </c>
      <c r="R301" s="696"/>
      <c r="S301" s="553"/>
      <c r="T301" s="553"/>
      <c r="U301" s="553"/>
      <c r="V301" s="553"/>
      <c r="W301" s="553"/>
      <c r="X301" s="553"/>
      <c r="Y301" s="553"/>
      <c r="Z301" s="553"/>
      <c r="AA301" s="553"/>
      <c r="AB301" s="554"/>
      <c r="AC301" s="555"/>
      <c r="AD301" s="556"/>
      <c r="AE301" s="556"/>
      <c r="AF301" s="556"/>
      <c r="AG301" s="556"/>
    </row>
    <row r="302" spans="1:33">
      <c r="A302" s="585">
        <v>288</v>
      </c>
      <c r="B302" s="587" t="s">
        <v>2693</v>
      </c>
      <c r="C302" s="585">
        <v>288</v>
      </c>
      <c r="D302" s="629" t="s">
        <v>2293</v>
      </c>
      <c r="E302" s="586" t="s">
        <v>204</v>
      </c>
      <c r="F302" s="675">
        <v>4.7482900000000001E-2</v>
      </c>
      <c r="G302" s="676">
        <v>2538.48</v>
      </c>
      <c r="H302" s="588">
        <v>487.2</v>
      </c>
      <c r="I302" s="587" t="s">
        <v>549</v>
      </c>
      <c r="J302" s="585">
        <v>1</v>
      </c>
      <c r="K302" s="585" t="s">
        <v>697</v>
      </c>
      <c r="L302" s="678">
        <v>348</v>
      </c>
      <c r="M302" s="649" t="s">
        <v>2533</v>
      </c>
      <c r="N302" s="679">
        <v>67.071199999999919</v>
      </c>
      <c r="O302" s="679">
        <v>134.15400000000011</v>
      </c>
      <c r="P302" s="589" t="s">
        <v>2534</v>
      </c>
      <c r="Q302" s="680">
        <v>336.67839999999967</v>
      </c>
      <c r="R302" s="696"/>
      <c r="S302" s="553"/>
      <c r="T302" s="553"/>
      <c r="U302" s="553"/>
      <c r="V302" s="553"/>
      <c r="W302" s="553"/>
      <c r="X302" s="553"/>
      <c r="Y302" s="553"/>
      <c r="Z302" s="553"/>
      <c r="AA302" s="553"/>
      <c r="AB302" s="554"/>
      <c r="AC302" s="555"/>
      <c r="AD302" s="556"/>
      <c r="AE302" s="556"/>
      <c r="AF302" s="556"/>
      <c r="AG302" s="556"/>
    </row>
    <row r="303" spans="1:33">
      <c r="A303" s="585">
        <v>289</v>
      </c>
      <c r="B303" s="587" t="s">
        <v>2694</v>
      </c>
      <c r="C303" s="585">
        <v>289</v>
      </c>
      <c r="D303" s="629" t="s">
        <v>2293</v>
      </c>
      <c r="E303" s="586" t="s">
        <v>205</v>
      </c>
      <c r="F303" s="675">
        <v>4.7482900000000001E-2</v>
      </c>
      <c r="G303" s="676">
        <v>2538.48</v>
      </c>
      <c r="H303" s="588">
        <v>487.2</v>
      </c>
      <c r="I303" s="587" t="s">
        <v>549</v>
      </c>
      <c r="J303" s="585">
        <v>1</v>
      </c>
      <c r="K303" s="585" t="s">
        <v>698</v>
      </c>
      <c r="L303" s="678">
        <v>348</v>
      </c>
      <c r="M303" s="649" t="s">
        <v>2533</v>
      </c>
      <c r="N303" s="679">
        <v>67.071199999999919</v>
      </c>
      <c r="O303" s="679">
        <v>134.15400000000011</v>
      </c>
      <c r="P303" s="589" t="s">
        <v>2534</v>
      </c>
      <c r="Q303" s="680">
        <v>336.67839999999967</v>
      </c>
      <c r="R303" s="696"/>
      <c r="S303" s="553"/>
      <c r="T303" s="553"/>
      <c r="U303" s="553"/>
      <c r="V303" s="553"/>
      <c r="W303" s="553"/>
      <c r="X303" s="553"/>
      <c r="Y303" s="553"/>
      <c r="Z303" s="553"/>
      <c r="AA303" s="553"/>
      <c r="AB303" s="554"/>
      <c r="AC303" s="555"/>
      <c r="AD303" s="556"/>
      <c r="AE303" s="556"/>
      <c r="AF303" s="556"/>
      <c r="AG303" s="556"/>
    </row>
    <row r="304" spans="1:33">
      <c r="A304" s="585">
        <v>290</v>
      </c>
      <c r="B304" s="587" t="s">
        <v>2695</v>
      </c>
      <c r="C304" s="585">
        <v>290</v>
      </c>
      <c r="D304" s="629" t="s">
        <v>2293</v>
      </c>
      <c r="E304" s="586" t="s">
        <v>206</v>
      </c>
      <c r="F304" s="675">
        <v>4.7482900000000001E-2</v>
      </c>
      <c r="G304" s="676">
        <v>2538.48</v>
      </c>
      <c r="H304" s="588">
        <v>487.2</v>
      </c>
      <c r="I304" s="587" t="s">
        <v>549</v>
      </c>
      <c r="J304" s="585">
        <v>1</v>
      </c>
      <c r="K304" s="585" t="s">
        <v>699</v>
      </c>
      <c r="L304" s="678">
        <v>348</v>
      </c>
      <c r="M304" s="649" t="s">
        <v>2533</v>
      </c>
      <c r="N304" s="679">
        <v>67.071199999999919</v>
      </c>
      <c r="O304" s="679">
        <v>134.15400000000011</v>
      </c>
      <c r="P304" s="589" t="s">
        <v>2534</v>
      </c>
      <c r="Q304" s="680">
        <v>336.67839999999967</v>
      </c>
      <c r="R304" s="696"/>
      <c r="S304" s="553"/>
      <c r="T304" s="553"/>
      <c r="U304" s="553"/>
      <c r="V304" s="553"/>
      <c r="W304" s="553"/>
      <c r="X304" s="553"/>
      <c r="Y304" s="553"/>
      <c r="Z304" s="553"/>
      <c r="AA304" s="553"/>
      <c r="AB304" s="554"/>
      <c r="AC304" s="555"/>
      <c r="AD304" s="556"/>
      <c r="AE304" s="556"/>
      <c r="AF304" s="556"/>
      <c r="AG304" s="556"/>
    </row>
    <row r="305" spans="1:33">
      <c r="A305" s="585">
        <v>291</v>
      </c>
      <c r="B305" s="587" t="s">
        <v>2696</v>
      </c>
      <c r="C305" s="585">
        <v>291</v>
      </c>
      <c r="D305" s="629" t="s">
        <v>2293</v>
      </c>
      <c r="E305" s="586" t="s">
        <v>207</v>
      </c>
      <c r="F305" s="675">
        <v>4.7482900000000001E-2</v>
      </c>
      <c r="G305" s="676">
        <v>2538.48</v>
      </c>
      <c r="H305" s="588">
        <v>487.2</v>
      </c>
      <c r="I305" s="587" t="s">
        <v>549</v>
      </c>
      <c r="J305" s="585">
        <v>1</v>
      </c>
      <c r="K305" s="585" t="s">
        <v>695</v>
      </c>
      <c r="L305" s="678">
        <v>348</v>
      </c>
      <c r="M305" s="649" t="s">
        <v>2533</v>
      </c>
      <c r="N305" s="679">
        <v>67.071199999999919</v>
      </c>
      <c r="O305" s="679">
        <v>134.15400000000011</v>
      </c>
      <c r="P305" s="589" t="s">
        <v>2534</v>
      </c>
      <c r="Q305" s="680">
        <v>336.67839999999967</v>
      </c>
      <c r="R305" s="696"/>
      <c r="S305" s="553"/>
      <c r="T305" s="553"/>
      <c r="U305" s="553"/>
      <c r="V305" s="553"/>
      <c r="W305" s="553"/>
      <c r="X305" s="553"/>
      <c r="Y305" s="553"/>
      <c r="Z305" s="553"/>
      <c r="AA305" s="553"/>
      <c r="AB305" s="554"/>
      <c r="AC305" s="555"/>
      <c r="AD305" s="556"/>
      <c r="AE305" s="556"/>
      <c r="AF305" s="556"/>
      <c r="AG305" s="556"/>
    </row>
    <row r="306" spans="1:33">
      <c r="A306" s="585">
        <v>292</v>
      </c>
      <c r="B306" s="587" t="s">
        <v>2697</v>
      </c>
      <c r="C306" s="585">
        <v>292</v>
      </c>
      <c r="D306" s="629" t="s">
        <v>2293</v>
      </c>
      <c r="E306" s="586" t="s">
        <v>208</v>
      </c>
      <c r="F306" s="675">
        <v>4.3708999999999998E-2</v>
      </c>
      <c r="G306" s="676">
        <v>2538.48</v>
      </c>
      <c r="H306" s="588">
        <v>487.2</v>
      </c>
      <c r="I306" s="587" t="s">
        <v>549</v>
      </c>
      <c r="J306" s="585">
        <v>1</v>
      </c>
      <c r="K306" s="585" t="s">
        <v>700</v>
      </c>
      <c r="L306" s="678">
        <v>348</v>
      </c>
      <c r="M306" s="649" t="s">
        <v>2533</v>
      </c>
      <c r="N306" s="679">
        <v>67.071199999999919</v>
      </c>
      <c r="O306" s="679">
        <v>134.15400000000011</v>
      </c>
      <c r="P306" s="589" t="s">
        <v>2534</v>
      </c>
      <c r="Q306" s="680">
        <v>336.67839999999967</v>
      </c>
      <c r="R306" s="696"/>
      <c r="S306" s="553"/>
      <c r="T306" s="553"/>
      <c r="U306" s="553"/>
      <c r="V306" s="553"/>
      <c r="W306" s="553"/>
      <c r="X306" s="553"/>
      <c r="Y306" s="553"/>
      <c r="Z306" s="553"/>
      <c r="AA306" s="553"/>
      <c r="AB306" s="554"/>
      <c r="AC306" s="555"/>
      <c r="AD306" s="556"/>
      <c r="AE306" s="556"/>
      <c r="AF306" s="556"/>
      <c r="AG306" s="556"/>
    </row>
    <row r="307" spans="1:33">
      <c r="A307" s="585">
        <v>293</v>
      </c>
      <c r="B307" s="587" t="s">
        <v>2698</v>
      </c>
      <c r="C307" s="585">
        <v>293</v>
      </c>
      <c r="D307" s="629" t="s">
        <v>2293</v>
      </c>
      <c r="E307" s="586" t="s">
        <v>209</v>
      </c>
      <c r="F307" s="675">
        <v>5.4182100000000004E-2</v>
      </c>
      <c r="G307" s="676">
        <v>2538.48</v>
      </c>
      <c r="H307" s="588">
        <v>487.2</v>
      </c>
      <c r="I307" s="587" t="s">
        <v>549</v>
      </c>
      <c r="J307" s="585">
        <v>1</v>
      </c>
      <c r="K307" s="585" t="s">
        <v>701</v>
      </c>
      <c r="L307" s="678">
        <v>348</v>
      </c>
      <c r="M307" s="649" t="s">
        <v>2533</v>
      </c>
      <c r="N307" s="679">
        <v>67.071199999999919</v>
      </c>
      <c r="O307" s="679">
        <v>134.15400000000011</v>
      </c>
      <c r="P307" s="589" t="s">
        <v>2534</v>
      </c>
      <c r="Q307" s="680">
        <v>336.67839999999967</v>
      </c>
      <c r="R307" s="696"/>
      <c r="S307" s="553"/>
      <c r="T307" s="553"/>
      <c r="U307" s="553"/>
      <c r="V307" s="553"/>
      <c r="W307" s="553"/>
      <c r="X307" s="553"/>
      <c r="Y307" s="553"/>
      <c r="Z307" s="553"/>
      <c r="AA307" s="553"/>
      <c r="AB307" s="554"/>
      <c r="AC307" s="555"/>
      <c r="AD307" s="556"/>
      <c r="AE307" s="556"/>
      <c r="AF307" s="556"/>
      <c r="AG307" s="556"/>
    </row>
    <row r="308" spans="1:33">
      <c r="A308" s="585">
        <v>294</v>
      </c>
      <c r="B308" s="587" t="s">
        <v>2699</v>
      </c>
      <c r="C308" s="585">
        <v>294</v>
      </c>
      <c r="D308" s="629" t="s">
        <v>2293</v>
      </c>
      <c r="E308" s="586" t="s">
        <v>210</v>
      </c>
      <c r="F308" s="675">
        <v>3.70505E-2</v>
      </c>
      <c r="G308" s="676">
        <v>2538.48</v>
      </c>
      <c r="H308" s="588">
        <v>487.2</v>
      </c>
      <c r="I308" s="587" t="s">
        <v>549</v>
      </c>
      <c r="J308" s="585">
        <v>1</v>
      </c>
      <c r="K308" s="585" t="s">
        <v>702</v>
      </c>
      <c r="L308" s="678">
        <v>348</v>
      </c>
      <c r="M308" s="649" t="s">
        <v>2533</v>
      </c>
      <c r="N308" s="679">
        <v>67.071199999999919</v>
      </c>
      <c r="O308" s="679">
        <v>134.15400000000011</v>
      </c>
      <c r="P308" s="589" t="s">
        <v>2534</v>
      </c>
      <c r="Q308" s="680">
        <v>336.67839999999967</v>
      </c>
      <c r="R308" s="696"/>
      <c r="S308" s="553"/>
      <c r="T308" s="553"/>
      <c r="U308" s="553"/>
      <c r="V308" s="553"/>
      <c r="W308" s="553"/>
      <c r="X308" s="553"/>
      <c r="Y308" s="553"/>
      <c r="Z308" s="553"/>
      <c r="AA308" s="553"/>
      <c r="AB308" s="554"/>
      <c r="AC308" s="555"/>
      <c r="AD308" s="556"/>
      <c r="AE308" s="556"/>
      <c r="AF308" s="556"/>
      <c r="AG308" s="556"/>
    </row>
    <row r="309" spans="1:33">
      <c r="A309" s="585">
        <v>295</v>
      </c>
      <c r="B309" s="587" t="s">
        <v>2700</v>
      </c>
      <c r="C309" s="585">
        <v>295</v>
      </c>
      <c r="D309" s="629" t="s">
        <v>2293</v>
      </c>
      <c r="E309" s="586" t="s">
        <v>211</v>
      </c>
      <c r="F309" s="675">
        <v>3.9284899999999998E-2</v>
      </c>
      <c r="G309" s="676">
        <v>2538.48</v>
      </c>
      <c r="H309" s="588">
        <v>487.2</v>
      </c>
      <c r="I309" s="587" t="s">
        <v>549</v>
      </c>
      <c r="J309" s="585">
        <v>1</v>
      </c>
      <c r="K309" s="585" t="s">
        <v>703</v>
      </c>
      <c r="L309" s="678">
        <v>348</v>
      </c>
      <c r="M309" s="649" t="s">
        <v>2533</v>
      </c>
      <c r="N309" s="679">
        <v>67.071199999999919</v>
      </c>
      <c r="O309" s="679">
        <v>134.15400000000011</v>
      </c>
      <c r="P309" s="589" t="s">
        <v>2534</v>
      </c>
      <c r="Q309" s="680">
        <v>336.67839999999967</v>
      </c>
      <c r="R309" s="696"/>
      <c r="S309" s="553"/>
      <c r="T309" s="553"/>
      <c r="U309" s="553"/>
      <c r="V309" s="553"/>
      <c r="W309" s="553"/>
      <c r="X309" s="553"/>
      <c r="Y309" s="553"/>
      <c r="Z309" s="553"/>
      <c r="AA309" s="553"/>
      <c r="AB309" s="554"/>
      <c r="AC309" s="555"/>
      <c r="AD309" s="556"/>
      <c r="AE309" s="556"/>
      <c r="AF309" s="556"/>
      <c r="AG309" s="556"/>
    </row>
    <row r="310" spans="1:33">
      <c r="A310" s="585">
        <v>296</v>
      </c>
      <c r="B310" s="587" t="s">
        <v>2701</v>
      </c>
      <c r="C310" s="585">
        <v>296</v>
      </c>
      <c r="D310" s="629" t="s">
        <v>2293</v>
      </c>
      <c r="E310" s="586" t="s">
        <v>212</v>
      </c>
      <c r="F310" s="675">
        <v>3.5178899999999999E-2</v>
      </c>
      <c r="G310" s="676">
        <v>2538.48</v>
      </c>
      <c r="H310" s="588">
        <v>487.2</v>
      </c>
      <c r="I310" s="587" t="s">
        <v>549</v>
      </c>
      <c r="J310" s="585">
        <v>1</v>
      </c>
      <c r="K310" s="585" t="s">
        <v>704</v>
      </c>
      <c r="L310" s="678">
        <v>348</v>
      </c>
      <c r="M310" s="649" t="s">
        <v>2533</v>
      </c>
      <c r="N310" s="679">
        <v>67.071199999999919</v>
      </c>
      <c r="O310" s="679">
        <v>134.15400000000011</v>
      </c>
      <c r="P310" s="589" t="s">
        <v>2534</v>
      </c>
      <c r="Q310" s="680">
        <v>336.67839999999967</v>
      </c>
      <c r="R310" s="696"/>
      <c r="S310" s="553"/>
      <c r="T310" s="553"/>
      <c r="U310" s="553"/>
      <c r="V310" s="553"/>
      <c r="W310" s="553"/>
      <c r="X310" s="553"/>
      <c r="Y310" s="553"/>
      <c r="Z310" s="553"/>
      <c r="AA310" s="553"/>
      <c r="AB310" s="554"/>
      <c r="AC310" s="555"/>
      <c r="AD310" s="556"/>
      <c r="AE310" s="556"/>
      <c r="AF310" s="556"/>
      <c r="AG310" s="556"/>
    </row>
    <row r="311" spans="1:33">
      <c r="A311" s="585">
        <v>297</v>
      </c>
      <c r="B311" s="587" t="s">
        <v>2702</v>
      </c>
      <c r="C311" s="585">
        <v>297</v>
      </c>
      <c r="D311" s="629" t="s">
        <v>2293</v>
      </c>
      <c r="E311" s="586" t="s">
        <v>213</v>
      </c>
      <c r="F311" s="675">
        <v>6.3663200000000003E-2</v>
      </c>
      <c r="G311" s="676">
        <v>3463.0023344000001</v>
      </c>
      <c r="H311" s="588">
        <v>487.2</v>
      </c>
      <c r="I311" s="587" t="s">
        <v>601</v>
      </c>
      <c r="J311" s="585">
        <v>2</v>
      </c>
      <c r="K311" s="585" t="s">
        <v>705</v>
      </c>
      <c r="L311" s="678">
        <v>348</v>
      </c>
      <c r="M311" s="649" t="s">
        <v>2533</v>
      </c>
      <c r="N311" s="679">
        <v>121.62599999999989</v>
      </c>
      <c r="O311" s="679">
        <v>243.24040000000008</v>
      </c>
      <c r="P311" s="589" t="s">
        <v>2534</v>
      </c>
      <c r="Q311" s="680">
        <v>336.67839999999967</v>
      </c>
      <c r="R311" s="696"/>
      <c r="S311" s="553"/>
      <c r="T311" s="553"/>
      <c r="U311" s="553"/>
      <c r="V311" s="553"/>
      <c r="W311" s="553"/>
      <c r="X311" s="553"/>
      <c r="Y311" s="553"/>
      <c r="Z311" s="553"/>
      <c r="AA311" s="553"/>
      <c r="AB311" s="554"/>
      <c r="AC311" s="555"/>
      <c r="AD311" s="556"/>
      <c r="AE311" s="556"/>
      <c r="AF311" s="556"/>
      <c r="AG311" s="556"/>
    </row>
    <row r="312" spans="1:33">
      <c r="A312" s="585">
        <v>298</v>
      </c>
      <c r="B312" s="587" t="s">
        <v>2703</v>
      </c>
      <c r="C312" s="585">
        <v>298</v>
      </c>
      <c r="D312" s="629" t="s">
        <v>2293</v>
      </c>
      <c r="E312" s="586" t="s">
        <v>214</v>
      </c>
      <c r="F312" s="675">
        <v>3.2580200000000004E-2</v>
      </c>
      <c r="G312" s="676">
        <v>2538.48</v>
      </c>
      <c r="H312" s="588">
        <v>487.2</v>
      </c>
      <c r="I312" s="587" t="s">
        <v>549</v>
      </c>
      <c r="J312" s="585">
        <v>1</v>
      </c>
      <c r="K312" s="585" t="s">
        <v>706</v>
      </c>
      <c r="L312" s="678">
        <v>348</v>
      </c>
      <c r="M312" s="649" t="s">
        <v>2533</v>
      </c>
      <c r="N312" s="679">
        <v>67.071199999999919</v>
      </c>
      <c r="O312" s="679">
        <v>134.15400000000011</v>
      </c>
      <c r="P312" s="589" t="s">
        <v>2534</v>
      </c>
      <c r="Q312" s="680">
        <v>336.67839999999967</v>
      </c>
      <c r="R312" s="696"/>
      <c r="S312" s="553"/>
      <c r="T312" s="553"/>
      <c r="U312" s="553"/>
      <c r="V312" s="553"/>
      <c r="W312" s="553"/>
      <c r="X312" s="553"/>
      <c r="Y312" s="553"/>
      <c r="Z312" s="553"/>
      <c r="AA312" s="553"/>
      <c r="AB312" s="554"/>
      <c r="AC312" s="555"/>
      <c r="AD312" s="556"/>
      <c r="AE312" s="556"/>
      <c r="AF312" s="556"/>
      <c r="AG312" s="556"/>
    </row>
    <row r="313" spans="1:33">
      <c r="A313" s="585">
        <v>299</v>
      </c>
      <c r="B313" s="587" t="s">
        <v>2704</v>
      </c>
      <c r="C313" s="585">
        <v>299</v>
      </c>
      <c r="D313" s="629" t="s">
        <v>2293</v>
      </c>
      <c r="E313" s="586" t="s">
        <v>215</v>
      </c>
      <c r="F313" s="675">
        <v>3.9463400000000003E-2</v>
      </c>
      <c r="G313" s="676">
        <v>2538.48</v>
      </c>
      <c r="H313" s="588">
        <v>487.2</v>
      </c>
      <c r="I313" s="587" t="s">
        <v>549</v>
      </c>
      <c r="J313" s="585">
        <v>1</v>
      </c>
      <c r="K313" s="585" t="s">
        <v>707</v>
      </c>
      <c r="L313" s="678">
        <v>348</v>
      </c>
      <c r="M313" s="649" t="s">
        <v>2533</v>
      </c>
      <c r="N313" s="679">
        <v>67.071199999999919</v>
      </c>
      <c r="O313" s="679">
        <v>134.15400000000011</v>
      </c>
      <c r="P313" s="589" t="s">
        <v>2534</v>
      </c>
      <c r="Q313" s="680">
        <v>336.67839999999967</v>
      </c>
      <c r="R313" s="696"/>
      <c r="S313" s="553"/>
      <c r="T313" s="553"/>
      <c r="U313" s="553"/>
      <c r="V313" s="553"/>
      <c r="W313" s="553"/>
      <c r="X313" s="553"/>
      <c r="Y313" s="553"/>
      <c r="Z313" s="553"/>
      <c r="AA313" s="553"/>
      <c r="AB313" s="554"/>
      <c r="AC313" s="555"/>
      <c r="AD313" s="556"/>
      <c r="AE313" s="556"/>
      <c r="AF313" s="556"/>
      <c r="AG313" s="556"/>
    </row>
    <row r="314" spans="1:33">
      <c r="A314" s="585">
        <v>300</v>
      </c>
      <c r="B314" s="587" t="s">
        <v>2705</v>
      </c>
      <c r="C314" s="585">
        <v>300</v>
      </c>
      <c r="D314" s="629" t="s">
        <v>2293</v>
      </c>
      <c r="E314" s="586" t="s">
        <v>216</v>
      </c>
      <c r="F314" s="675">
        <v>4.8255299999999994E-2</v>
      </c>
      <c r="G314" s="676">
        <v>2538.48</v>
      </c>
      <c r="H314" s="588">
        <v>487.2</v>
      </c>
      <c r="I314" s="587" t="s">
        <v>549</v>
      </c>
      <c r="J314" s="585">
        <v>1</v>
      </c>
      <c r="K314" s="585" t="s">
        <v>708</v>
      </c>
      <c r="L314" s="678">
        <v>348</v>
      </c>
      <c r="M314" s="649" t="s">
        <v>2533</v>
      </c>
      <c r="N314" s="679">
        <v>67.071199999999919</v>
      </c>
      <c r="O314" s="679">
        <v>134.15400000000011</v>
      </c>
      <c r="P314" s="589" t="s">
        <v>2534</v>
      </c>
      <c r="Q314" s="680">
        <v>336.67839999999967</v>
      </c>
      <c r="R314" s="696"/>
      <c r="S314" s="553"/>
      <c r="T314" s="553"/>
      <c r="U314" s="553"/>
      <c r="V314" s="553"/>
      <c r="W314" s="553"/>
      <c r="X314" s="553"/>
      <c r="Y314" s="553"/>
      <c r="Z314" s="553"/>
      <c r="AA314" s="553"/>
      <c r="AB314" s="554"/>
      <c r="AC314" s="555"/>
      <c r="AD314" s="556"/>
      <c r="AE314" s="556"/>
      <c r="AF314" s="556"/>
      <c r="AG314" s="556"/>
    </row>
    <row r="315" spans="1:33">
      <c r="A315" s="585">
        <v>301</v>
      </c>
      <c r="B315" s="587" t="s">
        <v>2706</v>
      </c>
      <c r="C315" s="585">
        <v>301</v>
      </c>
      <c r="D315" s="629" t="s">
        <v>2293</v>
      </c>
      <c r="E315" s="586" t="s">
        <v>217</v>
      </c>
      <c r="F315" s="675">
        <v>4.8901300000000002E-2</v>
      </c>
      <c r="G315" s="676">
        <v>2538.48</v>
      </c>
      <c r="H315" s="588">
        <v>487.2</v>
      </c>
      <c r="I315" s="587" t="s">
        <v>549</v>
      </c>
      <c r="J315" s="585">
        <v>1</v>
      </c>
      <c r="K315" s="585" t="s">
        <v>709</v>
      </c>
      <c r="L315" s="678">
        <v>348</v>
      </c>
      <c r="M315" s="649" t="s">
        <v>2533</v>
      </c>
      <c r="N315" s="679">
        <v>67.071199999999919</v>
      </c>
      <c r="O315" s="679">
        <v>134.15400000000011</v>
      </c>
      <c r="P315" s="589" t="s">
        <v>2534</v>
      </c>
      <c r="Q315" s="680">
        <v>336.67839999999967</v>
      </c>
      <c r="R315" s="696"/>
      <c r="S315" s="553"/>
      <c r="T315" s="553"/>
      <c r="U315" s="553"/>
      <c r="V315" s="553"/>
      <c r="W315" s="553"/>
      <c r="X315" s="553"/>
      <c r="Y315" s="553"/>
      <c r="Z315" s="553"/>
      <c r="AA315" s="553"/>
      <c r="AB315" s="554"/>
      <c r="AC315" s="555"/>
      <c r="AD315" s="556"/>
      <c r="AE315" s="556"/>
      <c r="AF315" s="556"/>
      <c r="AG315" s="556"/>
    </row>
    <row r="316" spans="1:33">
      <c r="A316" s="585">
        <v>302</v>
      </c>
      <c r="B316" s="587" t="s">
        <v>2707</v>
      </c>
      <c r="C316" s="585">
        <v>302</v>
      </c>
      <c r="D316" s="629" t="s">
        <v>2293</v>
      </c>
      <c r="E316" s="586" t="s">
        <v>218</v>
      </c>
      <c r="F316" s="675">
        <v>4.8901300000000002E-2</v>
      </c>
      <c r="G316" s="676">
        <v>2538.48</v>
      </c>
      <c r="H316" s="588">
        <v>487.2</v>
      </c>
      <c r="I316" s="587" t="s">
        <v>549</v>
      </c>
      <c r="J316" s="585">
        <v>1</v>
      </c>
      <c r="K316" s="585" t="s">
        <v>710</v>
      </c>
      <c r="L316" s="678">
        <v>348</v>
      </c>
      <c r="M316" s="649" t="s">
        <v>2533</v>
      </c>
      <c r="N316" s="679">
        <v>67.071199999999919</v>
      </c>
      <c r="O316" s="679">
        <v>134.15400000000011</v>
      </c>
      <c r="P316" s="589" t="s">
        <v>2534</v>
      </c>
      <c r="Q316" s="680">
        <v>336.67839999999967</v>
      </c>
      <c r="R316" s="696"/>
      <c r="S316" s="553"/>
      <c r="T316" s="553"/>
      <c r="U316" s="553"/>
      <c r="V316" s="553"/>
      <c r="W316" s="553"/>
      <c r="X316" s="553"/>
      <c r="Y316" s="553"/>
      <c r="Z316" s="553"/>
      <c r="AA316" s="553"/>
      <c r="AB316" s="554"/>
      <c r="AC316" s="555"/>
      <c r="AD316" s="556"/>
      <c r="AE316" s="556"/>
      <c r="AF316" s="556"/>
      <c r="AG316" s="556"/>
    </row>
    <row r="317" spans="1:33">
      <c r="A317" s="585">
        <v>303</v>
      </c>
      <c r="B317" s="587" t="s">
        <v>2708</v>
      </c>
      <c r="C317" s="585">
        <v>303</v>
      </c>
      <c r="D317" s="629" t="s">
        <v>2293</v>
      </c>
      <c r="E317" s="586" t="s">
        <v>219</v>
      </c>
      <c r="F317" s="675">
        <v>4.8901300000000002E-2</v>
      </c>
      <c r="G317" s="676">
        <v>2538.48</v>
      </c>
      <c r="H317" s="588">
        <v>487.2</v>
      </c>
      <c r="I317" s="587" t="s">
        <v>549</v>
      </c>
      <c r="J317" s="585">
        <v>1</v>
      </c>
      <c r="K317" s="585" t="s">
        <v>711</v>
      </c>
      <c r="L317" s="678">
        <v>348</v>
      </c>
      <c r="M317" s="649" t="s">
        <v>2533</v>
      </c>
      <c r="N317" s="679">
        <v>67.071199999999919</v>
      </c>
      <c r="O317" s="679">
        <v>134.15400000000011</v>
      </c>
      <c r="P317" s="589" t="s">
        <v>2534</v>
      </c>
      <c r="Q317" s="680">
        <v>336.67839999999967</v>
      </c>
      <c r="R317" s="696"/>
      <c r="S317" s="553"/>
      <c r="T317" s="553"/>
      <c r="U317" s="553"/>
      <c r="V317" s="553"/>
      <c r="W317" s="553"/>
      <c r="X317" s="553"/>
      <c r="Y317" s="553"/>
      <c r="Z317" s="553"/>
      <c r="AA317" s="553"/>
      <c r="AB317" s="554"/>
      <c r="AC317" s="555"/>
      <c r="AD317" s="556"/>
      <c r="AE317" s="556"/>
      <c r="AF317" s="556"/>
      <c r="AG317" s="556"/>
    </row>
    <row r="318" spans="1:33">
      <c r="A318" s="585">
        <v>304</v>
      </c>
      <c r="B318" s="587" t="s">
        <v>2709</v>
      </c>
      <c r="C318" s="585">
        <v>304</v>
      </c>
      <c r="D318" s="629" t="s">
        <v>2293</v>
      </c>
      <c r="E318" s="586" t="s">
        <v>220</v>
      </c>
      <c r="F318" s="675">
        <v>4.0209799999999997E-2</v>
      </c>
      <c r="G318" s="676">
        <v>2538.48</v>
      </c>
      <c r="H318" s="588">
        <v>487.2</v>
      </c>
      <c r="I318" s="587" t="s">
        <v>549</v>
      </c>
      <c r="J318" s="585">
        <v>1</v>
      </c>
      <c r="K318" s="585" t="s">
        <v>712</v>
      </c>
      <c r="L318" s="678">
        <v>348</v>
      </c>
      <c r="M318" s="649" t="s">
        <v>2533</v>
      </c>
      <c r="N318" s="679">
        <v>67.071199999999919</v>
      </c>
      <c r="O318" s="679">
        <v>134.15400000000011</v>
      </c>
      <c r="P318" s="589" t="s">
        <v>2534</v>
      </c>
      <c r="Q318" s="680">
        <v>336.67839999999967</v>
      </c>
      <c r="R318" s="696"/>
      <c r="S318" s="553"/>
      <c r="T318" s="553"/>
      <c r="U318" s="553"/>
      <c r="V318" s="553"/>
      <c r="W318" s="553"/>
      <c r="X318" s="553"/>
      <c r="Y318" s="553"/>
      <c r="Z318" s="553"/>
      <c r="AA318" s="553"/>
      <c r="AB318" s="554"/>
      <c r="AC318" s="555"/>
      <c r="AD318" s="556"/>
      <c r="AE318" s="556"/>
      <c r="AF318" s="556"/>
      <c r="AG318" s="556"/>
    </row>
    <row r="319" spans="1:33">
      <c r="A319" s="585">
        <v>305</v>
      </c>
      <c r="B319" s="587" t="s">
        <v>2710</v>
      </c>
      <c r="C319" s="585">
        <v>305</v>
      </c>
      <c r="D319" s="629" t="s">
        <v>2293</v>
      </c>
      <c r="E319" s="586" t="s">
        <v>221</v>
      </c>
      <c r="F319" s="675">
        <v>4.3971900000000001E-2</v>
      </c>
      <c r="G319" s="676">
        <v>2538.48</v>
      </c>
      <c r="H319" s="588">
        <v>487.2</v>
      </c>
      <c r="I319" s="587" t="s">
        <v>549</v>
      </c>
      <c r="J319" s="585">
        <v>1</v>
      </c>
      <c r="K319" s="585" t="s">
        <v>713</v>
      </c>
      <c r="L319" s="678">
        <v>348</v>
      </c>
      <c r="M319" s="649" t="s">
        <v>2533</v>
      </c>
      <c r="N319" s="679">
        <v>67.071199999999919</v>
      </c>
      <c r="O319" s="679">
        <v>134.15400000000011</v>
      </c>
      <c r="P319" s="589" t="s">
        <v>2534</v>
      </c>
      <c r="Q319" s="680">
        <v>336.67839999999967</v>
      </c>
      <c r="R319" s="696"/>
      <c r="S319" s="553"/>
      <c r="T319" s="553"/>
      <c r="U319" s="553"/>
      <c r="V319" s="553"/>
      <c r="W319" s="553"/>
      <c r="X319" s="553"/>
      <c r="Y319" s="553"/>
      <c r="Z319" s="553"/>
      <c r="AA319" s="553"/>
      <c r="AB319" s="554"/>
      <c r="AC319" s="555"/>
      <c r="AD319" s="556"/>
      <c r="AE319" s="556"/>
      <c r="AF319" s="556"/>
      <c r="AG319" s="556"/>
    </row>
    <row r="320" spans="1:33">
      <c r="A320" s="585">
        <v>306</v>
      </c>
      <c r="B320" s="587" t="s">
        <v>2711</v>
      </c>
      <c r="C320" s="585">
        <v>306</v>
      </c>
      <c r="D320" s="629" t="s">
        <v>2293</v>
      </c>
      <c r="E320" s="586" t="s">
        <v>222</v>
      </c>
      <c r="F320" s="675">
        <v>4.0339900000000005E-2</v>
      </c>
      <c r="G320" s="676">
        <v>2538.48</v>
      </c>
      <c r="H320" s="588">
        <v>487.2</v>
      </c>
      <c r="I320" s="587" t="s">
        <v>549</v>
      </c>
      <c r="J320" s="585">
        <v>1</v>
      </c>
      <c r="K320" s="585" t="s">
        <v>714</v>
      </c>
      <c r="L320" s="678">
        <v>348</v>
      </c>
      <c r="M320" s="649" t="s">
        <v>2533</v>
      </c>
      <c r="N320" s="679">
        <v>67.071199999999919</v>
      </c>
      <c r="O320" s="679">
        <v>134.15400000000011</v>
      </c>
      <c r="P320" s="589" t="s">
        <v>2534</v>
      </c>
      <c r="Q320" s="680">
        <v>336.67839999999967</v>
      </c>
      <c r="R320" s="696"/>
      <c r="S320" s="553"/>
      <c r="T320" s="553"/>
      <c r="U320" s="553"/>
      <c r="V320" s="553"/>
      <c r="W320" s="553"/>
      <c r="X320" s="553"/>
      <c r="Y320" s="553"/>
      <c r="Z320" s="553"/>
      <c r="AA320" s="553"/>
      <c r="AB320" s="554"/>
      <c r="AC320" s="555"/>
      <c r="AD320" s="556"/>
      <c r="AE320" s="556"/>
      <c r="AF320" s="556"/>
      <c r="AG320" s="556"/>
    </row>
    <row r="321" spans="1:33">
      <c r="A321" s="585">
        <v>307</v>
      </c>
      <c r="B321" s="587" t="s">
        <v>2712</v>
      </c>
      <c r="C321" s="585">
        <v>307</v>
      </c>
      <c r="D321" s="629" t="s">
        <v>2293</v>
      </c>
      <c r="E321" s="586" t="s">
        <v>223</v>
      </c>
      <c r="F321" s="675">
        <v>6.3891299999999998E-2</v>
      </c>
      <c r="G321" s="676">
        <v>3463.0023344000001</v>
      </c>
      <c r="H321" s="588">
        <v>487.2</v>
      </c>
      <c r="I321" s="587" t="s">
        <v>601</v>
      </c>
      <c r="J321" s="585">
        <v>2</v>
      </c>
      <c r="K321" s="585" t="s">
        <v>715</v>
      </c>
      <c r="L321" s="678">
        <v>348</v>
      </c>
      <c r="M321" s="649" t="s">
        <v>2533</v>
      </c>
      <c r="N321" s="679">
        <v>121.62599999999989</v>
      </c>
      <c r="O321" s="679">
        <v>243.24040000000008</v>
      </c>
      <c r="P321" s="589" t="s">
        <v>2534</v>
      </c>
      <c r="Q321" s="680">
        <v>336.67839999999967</v>
      </c>
      <c r="R321" s="696"/>
      <c r="S321" s="553"/>
      <c r="T321" s="553"/>
      <c r="U321" s="553"/>
      <c r="V321" s="553"/>
      <c r="W321" s="553"/>
      <c r="X321" s="553"/>
      <c r="Y321" s="553"/>
      <c r="Z321" s="553"/>
      <c r="AA321" s="553"/>
      <c r="AB321" s="554"/>
      <c r="AC321" s="555"/>
      <c r="AD321" s="556"/>
      <c r="AE321" s="556"/>
      <c r="AF321" s="556"/>
      <c r="AG321" s="556"/>
    </row>
    <row r="322" spans="1:33">
      <c r="A322" s="585">
        <v>308</v>
      </c>
      <c r="B322" s="587" t="s">
        <v>2713</v>
      </c>
      <c r="C322" s="585">
        <v>308</v>
      </c>
      <c r="D322" s="629" t="s">
        <v>2293</v>
      </c>
      <c r="E322" s="586" t="s">
        <v>224</v>
      </c>
      <c r="F322" s="675">
        <v>6.3663200000000003E-2</v>
      </c>
      <c r="G322" s="676">
        <v>3463.0023344000001</v>
      </c>
      <c r="H322" s="588">
        <v>487.2</v>
      </c>
      <c r="I322" s="587" t="s">
        <v>601</v>
      </c>
      <c r="J322" s="585">
        <v>2</v>
      </c>
      <c r="K322" s="585" t="s">
        <v>716</v>
      </c>
      <c r="L322" s="678">
        <v>348</v>
      </c>
      <c r="M322" s="649" t="s">
        <v>2533</v>
      </c>
      <c r="N322" s="679">
        <v>121.62599999999989</v>
      </c>
      <c r="O322" s="679">
        <v>243.24040000000008</v>
      </c>
      <c r="P322" s="589" t="s">
        <v>2534</v>
      </c>
      <c r="Q322" s="680">
        <v>336.67839999999967</v>
      </c>
      <c r="R322" s="696"/>
      <c r="S322" s="553"/>
      <c r="T322" s="553"/>
      <c r="U322" s="553"/>
      <c r="V322" s="553"/>
      <c r="W322" s="553"/>
      <c r="X322" s="553"/>
      <c r="Y322" s="553"/>
      <c r="Z322" s="553"/>
      <c r="AA322" s="553"/>
      <c r="AB322" s="554"/>
      <c r="AC322" s="555"/>
      <c r="AD322" s="556"/>
      <c r="AE322" s="556"/>
      <c r="AF322" s="556"/>
      <c r="AG322" s="556"/>
    </row>
    <row r="323" spans="1:33">
      <c r="A323" s="585">
        <v>309</v>
      </c>
      <c r="B323" s="587" t="s">
        <v>2714</v>
      </c>
      <c r="C323" s="585">
        <v>309</v>
      </c>
      <c r="D323" s="629" t="s">
        <v>2293</v>
      </c>
      <c r="E323" s="586" t="s">
        <v>225</v>
      </c>
      <c r="F323" s="675">
        <v>6.2548500000000007E-2</v>
      </c>
      <c r="G323" s="676">
        <v>3463.0023344000001</v>
      </c>
      <c r="H323" s="588">
        <v>487.2</v>
      </c>
      <c r="I323" s="587" t="s">
        <v>601</v>
      </c>
      <c r="J323" s="585">
        <v>2</v>
      </c>
      <c r="K323" s="585" t="s">
        <v>717</v>
      </c>
      <c r="L323" s="678">
        <v>348</v>
      </c>
      <c r="M323" s="649" t="s">
        <v>2533</v>
      </c>
      <c r="N323" s="679">
        <v>121.62599999999989</v>
      </c>
      <c r="O323" s="679">
        <v>243.24040000000008</v>
      </c>
      <c r="P323" s="589" t="s">
        <v>2534</v>
      </c>
      <c r="Q323" s="680">
        <v>336.67839999999967</v>
      </c>
      <c r="R323" s="696"/>
      <c r="S323" s="553"/>
      <c r="T323" s="553"/>
      <c r="U323" s="553"/>
      <c r="V323" s="553"/>
      <c r="W323" s="553"/>
      <c r="X323" s="553"/>
      <c r="Y323" s="553"/>
      <c r="Z323" s="553"/>
      <c r="AA323" s="553"/>
      <c r="AB323" s="554"/>
      <c r="AC323" s="555"/>
      <c r="AD323" s="556"/>
      <c r="AE323" s="556"/>
      <c r="AF323" s="556"/>
      <c r="AG323" s="556"/>
    </row>
    <row r="324" spans="1:33">
      <c r="A324" s="585">
        <v>310</v>
      </c>
      <c r="B324" s="587" t="s">
        <v>2715</v>
      </c>
      <c r="C324" s="585">
        <v>310</v>
      </c>
      <c r="D324" s="629" t="s">
        <v>2293</v>
      </c>
      <c r="E324" s="586" t="s">
        <v>226</v>
      </c>
      <c r="F324" s="675">
        <v>6.2548500000000007E-2</v>
      </c>
      <c r="G324" s="676">
        <v>3463.0023344000001</v>
      </c>
      <c r="H324" s="588">
        <v>487.2</v>
      </c>
      <c r="I324" s="587" t="s">
        <v>601</v>
      </c>
      <c r="J324" s="585">
        <v>2</v>
      </c>
      <c r="K324" s="585" t="s">
        <v>718</v>
      </c>
      <c r="L324" s="678">
        <v>348</v>
      </c>
      <c r="M324" s="649" t="s">
        <v>2533</v>
      </c>
      <c r="N324" s="679">
        <v>121.62599999999989</v>
      </c>
      <c r="O324" s="679">
        <v>243.24040000000008</v>
      </c>
      <c r="P324" s="589" t="s">
        <v>2534</v>
      </c>
      <c r="Q324" s="680">
        <v>336.67839999999967</v>
      </c>
      <c r="R324" s="696"/>
      <c r="S324" s="553"/>
      <c r="T324" s="553"/>
      <c r="U324" s="553"/>
      <c r="V324" s="553"/>
      <c r="W324" s="553"/>
      <c r="X324" s="553"/>
      <c r="Y324" s="553"/>
      <c r="Z324" s="553"/>
      <c r="AA324" s="553"/>
      <c r="AB324" s="554"/>
      <c r="AC324" s="555"/>
      <c r="AD324" s="556"/>
      <c r="AE324" s="556"/>
      <c r="AF324" s="556"/>
      <c r="AG324" s="556"/>
    </row>
    <row r="325" spans="1:33">
      <c r="A325" s="585">
        <v>311</v>
      </c>
      <c r="B325" s="587" t="s">
        <v>2716</v>
      </c>
      <c r="C325" s="585">
        <v>311</v>
      </c>
      <c r="D325" s="629" t="s">
        <v>2293</v>
      </c>
      <c r="E325" s="586" t="s">
        <v>227</v>
      </c>
      <c r="F325" s="675">
        <v>6.2548500000000007E-2</v>
      </c>
      <c r="G325" s="676">
        <v>3463.0023344000001</v>
      </c>
      <c r="H325" s="588">
        <v>487.2</v>
      </c>
      <c r="I325" s="587" t="s">
        <v>601</v>
      </c>
      <c r="J325" s="585">
        <v>2</v>
      </c>
      <c r="K325" s="585" t="s">
        <v>719</v>
      </c>
      <c r="L325" s="678">
        <v>348</v>
      </c>
      <c r="M325" s="649" t="s">
        <v>2533</v>
      </c>
      <c r="N325" s="679">
        <v>121.62599999999989</v>
      </c>
      <c r="O325" s="679">
        <v>243.24040000000008</v>
      </c>
      <c r="P325" s="589" t="s">
        <v>2534</v>
      </c>
      <c r="Q325" s="680">
        <v>336.67839999999967</v>
      </c>
      <c r="R325" s="696"/>
      <c r="S325" s="553"/>
      <c r="T325" s="553"/>
      <c r="U325" s="553"/>
      <c r="V325" s="553"/>
      <c r="W325" s="553"/>
      <c r="X325" s="553"/>
      <c r="Y325" s="553"/>
      <c r="Z325" s="553"/>
      <c r="AA325" s="553"/>
      <c r="AB325" s="554"/>
      <c r="AC325" s="555"/>
      <c r="AD325" s="556"/>
      <c r="AE325" s="556"/>
      <c r="AF325" s="556"/>
      <c r="AG325" s="556"/>
    </row>
    <row r="326" spans="1:33">
      <c r="A326" s="585">
        <v>312</v>
      </c>
      <c r="B326" s="587" t="s">
        <v>2717</v>
      </c>
      <c r="C326" s="585">
        <v>312</v>
      </c>
      <c r="D326" s="629" t="s">
        <v>2293</v>
      </c>
      <c r="E326" s="586" t="s">
        <v>228</v>
      </c>
      <c r="F326" s="675">
        <v>6.2548500000000007E-2</v>
      </c>
      <c r="G326" s="676">
        <v>3463.0023344000001</v>
      </c>
      <c r="H326" s="588">
        <v>487.2</v>
      </c>
      <c r="I326" s="587" t="s">
        <v>601</v>
      </c>
      <c r="J326" s="585">
        <v>2</v>
      </c>
      <c r="K326" s="585" t="s">
        <v>720</v>
      </c>
      <c r="L326" s="678">
        <v>348</v>
      </c>
      <c r="M326" s="649" t="s">
        <v>2533</v>
      </c>
      <c r="N326" s="679">
        <v>121.62599999999989</v>
      </c>
      <c r="O326" s="679">
        <v>243.24040000000008</v>
      </c>
      <c r="P326" s="589" t="s">
        <v>2534</v>
      </c>
      <c r="Q326" s="680">
        <v>336.67839999999967</v>
      </c>
      <c r="R326" s="696"/>
      <c r="S326" s="553"/>
      <c r="T326" s="553"/>
      <c r="U326" s="553"/>
      <c r="V326" s="553"/>
      <c r="W326" s="553"/>
      <c r="X326" s="553"/>
      <c r="Y326" s="553"/>
      <c r="Z326" s="553"/>
      <c r="AA326" s="553"/>
      <c r="AB326" s="554"/>
      <c r="AC326" s="555"/>
      <c r="AD326" s="556"/>
      <c r="AE326" s="556"/>
      <c r="AF326" s="556"/>
      <c r="AG326" s="556"/>
    </row>
    <row r="327" spans="1:33">
      <c r="A327" s="585">
        <v>313</v>
      </c>
      <c r="B327" s="587" t="s">
        <v>2718</v>
      </c>
      <c r="C327" s="585">
        <v>313</v>
      </c>
      <c r="D327" s="629" t="s">
        <v>2293</v>
      </c>
      <c r="E327" s="586" t="s">
        <v>229</v>
      </c>
      <c r="F327" s="675">
        <v>6.2548500000000007E-2</v>
      </c>
      <c r="G327" s="676">
        <v>3463.0023344000001</v>
      </c>
      <c r="H327" s="588">
        <v>487.2</v>
      </c>
      <c r="I327" s="587" t="s">
        <v>601</v>
      </c>
      <c r="J327" s="585">
        <v>2</v>
      </c>
      <c r="K327" s="585" t="s">
        <v>721</v>
      </c>
      <c r="L327" s="678">
        <v>348</v>
      </c>
      <c r="M327" s="649" t="s">
        <v>2533</v>
      </c>
      <c r="N327" s="679">
        <v>121.62599999999989</v>
      </c>
      <c r="O327" s="679">
        <v>243.24040000000008</v>
      </c>
      <c r="P327" s="589" t="s">
        <v>2534</v>
      </c>
      <c r="Q327" s="680">
        <v>336.67839999999967</v>
      </c>
      <c r="R327" s="696"/>
      <c r="S327" s="553"/>
      <c r="T327" s="553"/>
      <c r="U327" s="553"/>
      <c r="V327" s="553"/>
      <c r="W327" s="553"/>
      <c r="X327" s="553"/>
      <c r="Y327" s="553"/>
      <c r="Z327" s="553"/>
      <c r="AA327" s="553"/>
      <c r="AB327" s="554"/>
      <c r="AC327" s="555"/>
      <c r="AD327" s="556"/>
      <c r="AE327" s="556"/>
      <c r="AF327" s="556"/>
      <c r="AG327" s="556"/>
    </row>
    <row r="328" spans="1:33">
      <c r="A328" s="585">
        <v>314</v>
      </c>
      <c r="B328" s="587" t="s">
        <v>2719</v>
      </c>
      <c r="C328" s="585">
        <v>314</v>
      </c>
      <c r="D328" s="629" t="s">
        <v>2293</v>
      </c>
      <c r="E328" s="586" t="s">
        <v>230</v>
      </c>
      <c r="F328" s="675">
        <v>6.3663200000000003E-2</v>
      </c>
      <c r="G328" s="676">
        <v>3463.0023344000001</v>
      </c>
      <c r="H328" s="588">
        <v>487.2</v>
      </c>
      <c r="I328" s="587" t="s">
        <v>601</v>
      </c>
      <c r="J328" s="585">
        <v>2</v>
      </c>
      <c r="K328" s="585" t="s">
        <v>722</v>
      </c>
      <c r="L328" s="678">
        <v>348</v>
      </c>
      <c r="M328" s="649" t="s">
        <v>2533</v>
      </c>
      <c r="N328" s="679">
        <v>121.62599999999989</v>
      </c>
      <c r="O328" s="679">
        <v>243.24040000000008</v>
      </c>
      <c r="P328" s="589" t="s">
        <v>2534</v>
      </c>
      <c r="Q328" s="680">
        <v>336.67839999999967</v>
      </c>
      <c r="R328" s="696"/>
      <c r="S328" s="553"/>
      <c r="T328" s="553"/>
      <c r="U328" s="553"/>
      <c r="V328" s="553"/>
      <c r="W328" s="553"/>
      <c r="X328" s="553"/>
      <c r="Y328" s="553"/>
      <c r="Z328" s="553"/>
      <c r="AA328" s="553"/>
      <c r="AB328" s="554"/>
      <c r="AC328" s="555"/>
      <c r="AD328" s="556"/>
      <c r="AE328" s="556"/>
      <c r="AF328" s="556"/>
      <c r="AG328" s="556"/>
    </row>
    <row r="329" spans="1:33">
      <c r="A329" s="585">
        <v>315</v>
      </c>
      <c r="B329" s="587" t="s">
        <v>2720</v>
      </c>
      <c r="C329" s="585">
        <v>315</v>
      </c>
      <c r="D329" s="629" t="s">
        <v>2293</v>
      </c>
      <c r="E329" s="586" t="s">
        <v>231</v>
      </c>
      <c r="F329" s="675">
        <v>6.3663200000000003E-2</v>
      </c>
      <c r="G329" s="676">
        <v>3463.0023344000001</v>
      </c>
      <c r="H329" s="588">
        <v>487.2</v>
      </c>
      <c r="I329" s="587" t="s">
        <v>601</v>
      </c>
      <c r="J329" s="585">
        <v>2</v>
      </c>
      <c r="K329" s="585" t="s">
        <v>723</v>
      </c>
      <c r="L329" s="678">
        <v>348</v>
      </c>
      <c r="M329" s="649" t="s">
        <v>2533</v>
      </c>
      <c r="N329" s="679">
        <v>121.62599999999989</v>
      </c>
      <c r="O329" s="679">
        <v>243.24040000000008</v>
      </c>
      <c r="P329" s="589" t="s">
        <v>2534</v>
      </c>
      <c r="Q329" s="680">
        <v>336.67839999999967</v>
      </c>
      <c r="R329" s="696"/>
      <c r="S329" s="553"/>
      <c r="T329" s="553"/>
      <c r="U329" s="553"/>
      <c r="V329" s="553"/>
      <c r="W329" s="553"/>
      <c r="X329" s="553"/>
      <c r="Y329" s="553"/>
      <c r="Z329" s="553"/>
      <c r="AA329" s="553"/>
      <c r="AB329" s="554"/>
      <c r="AC329" s="555"/>
      <c r="AD329" s="556"/>
      <c r="AE329" s="556"/>
      <c r="AF329" s="556"/>
      <c r="AG329" s="556"/>
    </row>
    <row r="330" spans="1:33">
      <c r="A330" s="585">
        <v>316</v>
      </c>
      <c r="B330" s="587" t="s">
        <v>3593</v>
      </c>
      <c r="C330" s="585">
        <v>316</v>
      </c>
      <c r="D330" s="629" t="s">
        <v>2293</v>
      </c>
      <c r="E330" s="586" t="s">
        <v>3766</v>
      </c>
      <c r="F330" s="675">
        <v>3.1363000000000002E-2</v>
      </c>
      <c r="G330" s="676">
        <v>7453.37</v>
      </c>
      <c r="H330" s="588">
        <v>487.2</v>
      </c>
      <c r="I330" s="587" t="s">
        <v>3793</v>
      </c>
      <c r="J330" s="585">
        <v>3</v>
      </c>
      <c r="K330" s="585" t="s">
        <v>3680</v>
      </c>
      <c r="L330" s="678">
        <v>0</v>
      </c>
      <c r="M330" s="649" t="s">
        <v>2533</v>
      </c>
      <c r="N330" s="679">
        <v>298.14</v>
      </c>
      <c r="O330" s="679">
        <v>596.29</v>
      </c>
      <c r="P330" s="589" t="s">
        <v>2534</v>
      </c>
      <c r="Q330" s="680">
        <v>0</v>
      </c>
      <c r="R330" s="696"/>
      <c r="S330" s="553"/>
      <c r="T330" s="553"/>
      <c r="U330" s="553"/>
      <c r="V330" s="553"/>
      <c r="W330" s="553"/>
      <c r="X330" s="553"/>
      <c r="Y330" s="553"/>
      <c r="Z330" s="553"/>
      <c r="AA330" s="553"/>
      <c r="AB330" s="554"/>
      <c r="AC330" s="555"/>
      <c r="AD330" s="556"/>
      <c r="AE330" s="556"/>
      <c r="AF330" s="556"/>
      <c r="AG330" s="556"/>
    </row>
    <row r="331" spans="1:33">
      <c r="A331" s="585">
        <v>317</v>
      </c>
      <c r="B331" s="587" t="s">
        <v>3594</v>
      </c>
      <c r="C331" s="585">
        <v>317</v>
      </c>
      <c r="D331" s="629" t="s">
        <v>2293</v>
      </c>
      <c r="E331" s="586" t="s">
        <v>3767</v>
      </c>
      <c r="F331" s="675">
        <v>3.1363000000000002E-2</v>
      </c>
      <c r="G331" s="676">
        <v>7453.37</v>
      </c>
      <c r="H331" s="588">
        <v>487.2</v>
      </c>
      <c r="I331" s="587" t="s">
        <v>3793</v>
      </c>
      <c r="J331" s="585">
        <v>3</v>
      </c>
      <c r="K331" s="585" t="s">
        <v>3681</v>
      </c>
      <c r="L331" s="678">
        <v>0</v>
      </c>
      <c r="M331" s="649" t="s">
        <v>2533</v>
      </c>
      <c r="N331" s="679">
        <v>298.14</v>
      </c>
      <c r="O331" s="679">
        <v>596.29</v>
      </c>
      <c r="P331" s="589" t="s">
        <v>2534</v>
      </c>
      <c r="Q331" s="680">
        <v>0</v>
      </c>
      <c r="R331" s="696"/>
      <c r="S331" s="553"/>
      <c r="T331" s="553"/>
      <c r="U331" s="553"/>
      <c r="V331" s="553"/>
      <c r="W331" s="553"/>
      <c r="X331" s="553"/>
      <c r="Y331" s="553"/>
      <c r="Z331" s="553"/>
      <c r="AA331" s="553"/>
      <c r="AB331" s="554"/>
      <c r="AC331" s="555"/>
      <c r="AD331" s="556"/>
      <c r="AE331" s="556"/>
      <c r="AF331" s="556"/>
      <c r="AG331" s="556"/>
    </row>
    <row r="332" spans="1:33">
      <c r="A332" s="585">
        <v>318</v>
      </c>
      <c r="B332" s="587" t="s">
        <v>2721</v>
      </c>
      <c r="C332" s="585">
        <v>318</v>
      </c>
      <c r="D332" s="629" t="s">
        <v>2293</v>
      </c>
      <c r="E332" s="586" t="s">
        <v>232</v>
      </c>
      <c r="F332" s="675">
        <v>6.2548500000000007E-2</v>
      </c>
      <c r="G332" s="676">
        <v>3463.0023344000001</v>
      </c>
      <c r="H332" s="588">
        <v>487.2</v>
      </c>
      <c r="I332" s="587" t="s">
        <v>601</v>
      </c>
      <c r="J332" s="585">
        <v>2</v>
      </c>
      <c r="K332" s="585" t="s">
        <v>724</v>
      </c>
      <c r="L332" s="678">
        <v>348</v>
      </c>
      <c r="M332" s="649" t="s">
        <v>2533</v>
      </c>
      <c r="N332" s="679">
        <v>121.62599999999989</v>
      </c>
      <c r="O332" s="679">
        <v>243.24040000000008</v>
      </c>
      <c r="P332" s="589" t="s">
        <v>2534</v>
      </c>
      <c r="Q332" s="680">
        <v>336.67839999999967</v>
      </c>
      <c r="R332" s="696"/>
      <c r="S332" s="553"/>
      <c r="T332" s="553"/>
      <c r="U332" s="553"/>
      <c r="V332" s="553"/>
      <c r="W332" s="553"/>
      <c r="X332" s="553"/>
      <c r="Y332" s="553"/>
      <c r="Z332" s="553"/>
      <c r="AA332" s="553"/>
      <c r="AB332" s="554"/>
      <c r="AC332" s="555"/>
      <c r="AD332" s="556"/>
      <c r="AE332" s="556"/>
      <c r="AF332" s="556"/>
      <c r="AG332" s="556"/>
    </row>
    <row r="333" spans="1:33">
      <c r="A333" s="585">
        <v>319</v>
      </c>
      <c r="B333" s="587" t="s">
        <v>2722</v>
      </c>
      <c r="C333" s="585">
        <v>319</v>
      </c>
      <c r="D333" s="629" t="s">
        <v>2293</v>
      </c>
      <c r="E333" s="586" t="s">
        <v>233</v>
      </c>
      <c r="F333" s="675">
        <v>6.2548500000000007E-2</v>
      </c>
      <c r="G333" s="676">
        <v>3463.0023344000001</v>
      </c>
      <c r="H333" s="588">
        <v>487.2</v>
      </c>
      <c r="I333" s="587" t="s">
        <v>601</v>
      </c>
      <c r="J333" s="585">
        <v>2</v>
      </c>
      <c r="K333" s="585" t="s">
        <v>725</v>
      </c>
      <c r="L333" s="678">
        <v>348</v>
      </c>
      <c r="M333" s="649" t="s">
        <v>2533</v>
      </c>
      <c r="N333" s="679">
        <v>121.62599999999989</v>
      </c>
      <c r="O333" s="679">
        <v>243.24040000000008</v>
      </c>
      <c r="P333" s="589" t="s">
        <v>2534</v>
      </c>
      <c r="Q333" s="680">
        <v>336.67839999999967</v>
      </c>
      <c r="R333" s="696"/>
      <c r="S333" s="553"/>
      <c r="T333" s="553"/>
      <c r="U333" s="553"/>
      <c r="V333" s="553"/>
      <c r="W333" s="553"/>
      <c r="X333" s="553"/>
      <c r="Y333" s="553"/>
      <c r="Z333" s="553"/>
      <c r="AA333" s="553"/>
      <c r="AB333" s="554"/>
      <c r="AC333" s="555"/>
      <c r="AD333" s="556"/>
      <c r="AE333" s="556"/>
      <c r="AF333" s="556"/>
      <c r="AG333" s="556"/>
    </row>
    <row r="334" spans="1:33">
      <c r="A334" s="585">
        <v>320</v>
      </c>
      <c r="B334" s="587" t="s">
        <v>2723</v>
      </c>
      <c r="C334" s="585">
        <v>320</v>
      </c>
      <c r="D334" s="629" t="s">
        <v>2293</v>
      </c>
      <c r="E334" s="586" t="s">
        <v>2444</v>
      </c>
      <c r="F334" s="675">
        <v>6.2690999999999997E-2</v>
      </c>
      <c r="G334" s="676">
        <v>3463.0023344000001</v>
      </c>
      <c r="H334" s="588">
        <v>487.2</v>
      </c>
      <c r="I334" s="587" t="s">
        <v>601</v>
      </c>
      <c r="J334" s="585">
        <v>2</v>
      </c>
      <c r="K334" s="585" t="s">
        <v>726</v>
      </c>
      <c r="L334" s="678">
        <v>348</v>
      </c>
      <c r="M334" s="649" t="s">
        <v>2533</v>
      </c>
      <c r="N334" s="679">
        <v>121.62599999999989</v>
      </c>
      <c r="O334" s="679">
        <v>243.24040000000008</v>
      </c>
      <c r="P334" s="589" t="s">
        <v>2534</v>
      </c>
      <c r="Q334" s="680">
        <v>336.67839999999967</v>
      </c>
      <c r="R334" s="696"/>
      <c r="S334" s="553"/>
      <c r="T334" s="553"/>
      <c r="U334" s="553"/>
      <c r="V334" s="553"/>
      <c r="W334" s="553"/>
      <c r="X334" s="553"/>
      <c r="Y334" s="553"/>
      <c r="Z334" s="553"/>
      <c r="AA334" s="553"/>
      <c r="AB334" s="554"/>
      <c r="AC334" s="555"/>
      <c r="AD334" s="556"/>
      <c r="AE334" s="556"/>
      <c r="AF334" s="556"/>
      <c r="AG334" s="556"/>
    </row>
    <row r="335" spans="1:33">
      <c r="A335" s="585">
        <v>321</v>
      </c>
      <c r="B335" s="587" t="s">
        <v>2724</v>
      </c>
      <c r="C335" s="585">
        <v>321</v>
      </c>
      <c r="D335" s="629" t="s">
        <v>2293</v>
      </c>
      <c r="E335" s="586" t="s">
        <v>2445</v>
      </c>
      <c r="F335" s="675">
        <v>6.2548500000000007E-2</v>
      </c>
      <c r="G335" s="676">
        <v>3463.0023344000001</v>
      </c>
      <c r="H335" s="588">
        <v>487.2</v>
      </c>
      <c r="I335" s="587" t="s">
        <v>601</v>
      </c>
      <c r="J335" s="585">
        <v>2</v>
      </c>
      <c r="K335" s="585" t="s">
        <v>727</v>
      </c>
      <c r="L335" s="678">
        <v>348</v>
      </c>
      <c r="M335" s="649" t="s">
        <v>2533</v>
      </c>
      <c r="N335" s="679">
        <v>121.62599999999989</v>
      </c>
      <c r="O335" s="679">
        <v>243.24040000000008</v>
      </c>
      <c r="P335" s="589" t="s">
        <v>2534</v>
      </c>
      <c r="Q335" s="680">
        <v>336.67839999999967</v>
      </c>
      <c r="R335" s="696"/>
      <c r="S335" s="553"/>
      <c r="T335" s="553"/>
      <c r="U335" s="553"/>
      <c r="V335" s="553"/>
      <c r="W335" s="553"/>
      <c r="X335" s="553"/>
      <c r="Y335" s="553"/>
      <c r="Z335" s="553"/>
      <c r="AA335" s="553"/>
      <c r="AB335" s="554"/>
      <c r="AC335" s="555"/>
      <c r="AD335" s="556"/>
      <c r="AE335" s="556"/>
      <c r="AF335" s="556"/>
      <c r="AG335" s="556"/>
    </row>
    <row r="336" spans="1:33">
      <c r="A336" s="585">
        <v>322</v>
      </c>
      <c r="B336" s="587" t="s">
        <v>2725</v>
      </c>
      <c r="C336" s="585">
        <v>322</v>
      </c>
      <c r="D336" s="629" t="s">
        <v>2293</v>
      </c>
      <c r="E336" s="586" t="s">
        <v>234</v>
      </c>
      <c r="F336" s="675">
        <v>6.2548500000000007E-2</v>
      </c>
      <c r="G336" s="676">
        <v>3463.0023344000001</v>
      </c>
      <c r="H336" s="588">
        <v>487.2</v>
      </c>
      <c r="I336" s="587" t="s">
        <v>601</v>
      </c>
      <c r="J336" s="585">
        <v>2</v>
      </c>
      <c r="K336" s="585" t="s">
        <v>728</v>
      </c>
      <c r="L336" s="678">
        <v>348</v>
      </c>
      <c r="M336" s="649" t="s">
        <v>2533</v>
      </c>
      <c r="N336" s="679">
        <v>121.62599999999989</v>
      </c>
      <c r="O336" s="679">
        <v>243.24040000000008</v>
      </c>
      <c r="P336" s="589" t="s">
        <v>2534</v>
      </c>
      <c r="Q336" s="680">
        <v>336.67839999999967</v>
      </c>
      <c r="R336" s="696"/>
      <c r="S336" s="553"/>
      <c r="T336" s="553"/>
      <c r="U336" s="553"/>
      <c r="V336" s="553"/>
      <c r="W336" s="553"/>
      <c r="X336" s="553"/>
      <c r="Y336" s="553"/>
      <c r="Z336" s="553"/>
      <c r="AA336" s="553"/>
      <c r="AB336" s="554"/>
      <c r="AC336" s="555"/>
      <c r="AD336" s="556"/>
      <c r="AE336" s="556"/>
      <c r="AF336" s="556"/>
      <c r="AG336" s="556"/>
    </row>
    <row r="337" spans="1:33">
      <c r="A337" s="585">
        <v>323</v>
      </c>
      <c r="B337" s="587" t="s">
        <v>2726</v>
      </c>
      <c r="C337" s="585">
        <v>323</v>
      </c>
      <c r="D337" s="629" t="s">
        <v>2293</v>
      </c>
      <c r="E337" s="586" t="s">
        <v>2471</v>
      </c>
      <c r="F337" s="675">
        <v>6.2548500000000007E-2</v>
      </c>
      <c r="G337" s="676">
        <v>3463.0023344000001</v>
      </c>
      <c r="H337" s="588">
        <v>487.2</v>
      </c>
      <c r="I337" s="587" t="s">
        <v>601</v>
      </c>
      <c r="J337" s="585">
        <v>2</v>
      </c>
      <c r="K337" s="585" t="s">
        <v>2472</v>
      </c>
      <c r="L337" s="678">
        <v>348</v>
      </c>
      <c r="M337" s="649" t="s">
        <v>2533</v>
      </c>
      <c r="N337" s="679">
        <v>121.62599999999989</v>
      </c>
      <c r="O337" s="679">
        <v>243.24040000000008</v>
      </c>
      <c r="P337" s="589" t="s">
        <v>2534</v>
      </c>
      <c r="Q337" s="680">
        <v>336.67839999999967</v>
      </c>
      <c r="R337" s="696"/>
      <c r="S337" s="553"/>
      <c r="T337" s="553"/>
      <c r="U337" s="553"/>
      <c r="V337" s="553"/>
      <c r="W337" s="553"/>
      <c r="X337" s="553"/>
      <c r="Y337" s="553"/>
      <c r="Z337" s="553"/>
      <c r="AA337" s="553"/>
      <c r="AB337" s="554"/>
      <c r="AC337" s="555"/>
      <c r="AD337" s="556"/>
      <c r="AE337" s="556"/>
      <c r="AF337" s="556"/>
      <c r="AG337" s="556"/>
    </row>
    <row r="338" spans="1:33">
      <c r="A338" s="585">
        <v>324</v>
      </c>
      <c r="B338" s="587" t="s">
        <v>2727</v>
      </c>
      <c r="C338" s="585">
        <v>324</v>
      </c>
      <c r="D338" s="629" t="s">
        <v>2293</v>
      </c>
      <c r="E338" s="586" t="s">
        <v>2473</v>
      </c>
      <c r="F338" s="675">
        <v>6.2548500000000007E-2</v>
      </c>
      <c r="G338" s="676">
        <v>3463.0023344000001</v>
      </c>
      <c r="H338" s="588">
        <v>487.2</v>
      </c>
      <c r="I338" s="587" t="s">
        <v>601</v>
      </c>
      <c r="J338" s="585">
        <v>2</v>
      </c>
      <c r="K338" s="585" t="s">
        <v>2474</v>
      </c>
      <c r="L338" s="678">
        <v>348</v>
      </c>
      <c r="M338" s="649" t="s">
        <v>2533</v>
      </c>
      <c r="N338" s="679">
        <v>121.62599999999989</v>
      </c>
      <c r="O338" s="679">
        <v>243.24040000000008</v>
      </c>
      <c r="P338" s="589" t="s">
        <v>2534</v>
      </c>
      <c r="Q338" s="680">
        <v>336.67839999999967</v>
      </c>
      <c r="R338" s="696"/>
      <c r="S338" s="553"/>
      <c r="T338" s="553"/>
      <c r="U338" s="553"/>
      <c r="V338" s="553"/>
      <c r="W338" s="553"/>
      <c r="X338" s="553"/>
      <c r="Y338" s="553"/>
      <c r="Z338" s="553"/>
      <c r="AA338" s="553"/>
      <c r="AB338" s="554"/>
      <c r="AC338" s="555"/>
      <c r="AD338" s="556"/>
      <c r="AE338" s="556"/>
      <c r="AF338" s="556"/>
      <c r="AG338" s="556"/>
    </row>
    <row r="339" spans="1:33">
      <c r="A339" s="585">
        <v>325</v>
      </c>
      <c r="B339" s="587" t="s">
        <v>2728</v>
      </c>
      <c r="C339" s="585">
        <v>325</v>
      </c>
      <c r="D339" s="629" t="s">
        <v>2293</v>
      </c>
      <c r="E339" s="586" t="s">
        <v>2475</v>
      </c>
      <c r="F339" s="675">
        <v>6.2548500000000007E-2</v>
      </c>
      <c r="G339" s="676">
        <v>3463.0023344000001</v>
      </c>
      <c r="H339" s="588">
        <v>487.2</v>
      </c>
      <c r="I339" s="587" t="s">
        <v>601</v>
      </c>
      <c r="J339" s="585">
        <v>2</v>
      </c>
      <c r="K339" s="585" t="s">
        <v>2476</v>
      </c>
      <c r="L339" s="678">
        <v>348</v>
      </c>
      <c r="M339" s="649" t="s">
        <v>2533</v>
      </c>
      <c r="N339" s="679">
        <v>121.62599999999989</v>
      </c>
      <c r="O339" s="679">
        <v>243.24040000000008</v>
      </c>
      <c r="P339" s="589" t="s">
        <v>2534</v>
      </c>
      <c r="Q339" s="680">
        <v>336.67839999999967</v>
      </c>
      <c r="R339" s="696"/>
      <c r="S339" s="553"/>
      <c r="T339" s="553"/>
      <c r="U339" s="553"/>
      <c r="V339" s="553"/>
      <c r="W339" s="553"/>
      <c r="X339" s="553"/>
      <c r="Y339" s="553"/>
      <c r="Z339" s="553"/>
      <c r="AA339" s="553"/>
      <c r="AB339" s="554"/>
      <c r="AC339" s="555"/>
      <c r="AD339" s="556"/>
      <c r="AE339" s="556"/>
      <c r="AF339" s="556"/>
      <c r="AG339" s="556"/>
    </row>
    <row r="340" spans="1:33">
      <c r="A340" s="585">
        <v>326</v>
      </c>
      <c r="B340" s="587" t="s">
        <v>4359</v>
      </c>
      <c r="C340" s="585">
        <v>326</v>
      </c>
      <c r="D340" s="629" t="s">
        <v>2293</v>
      </c>
      <c r="E340" s="586" t="s">
        <v>4360</v>
      </c>
      <c r="F340" s="675">
        <v>6.3663200000000003E-2</v>
      </c>
      <c r="G340" s="676">
        <v>3463.0023344000001</v>
      </c>
      <c r="H340" s="588">
        <v>487.2</v>
      </c>
      <c r="I340" s="587" t="s">
        <v>601</v>
      </c>
      <c r="J340" s="585">
        <v>2</v>
      </c>
      <c r="K340" s="585" t="s">
        <v>4361</v>
      </c>
      <c r="L340" s="678">
        <v>348</v>
      </c>
      <c r="M340" s="649" t="s">
        <v>2533</v>
      </c>
      <c r="N340" s="679">
        <v>121.62599999999989</v>
      </c>
      <c r="O340" s="679">
        <v>243.24040000000008</v>
      </c>
      <c r="P340" s="589" t="s">
        <v>2534</v>
      </c>
      <c r="Q340" s="680">
        <v>336.67839999999967</v>
      </c>
      <c r="R340" s="696"/>
      <c r="S340" s="553"/>
      <c r="T340" s="553"/>
      <c r="U340" s="553"/>
      <c r="V340" s="553"/>
      <c r="W340" s="553"/>
      <c r="X340" s="553"/>
      <c r="Y340" s="553"/>
      <c r="Z340" s="553"/>
      <c r="AA340" s="553"/>
      <c r="AB340" s="554"/>
      <c r="AC340" s="555"/>
      <c r="AD340" s="556"/>
      <c r="AE340" s="556"/>
      <c r="AF340" s="556"/>
      <c r="AG340" s="556"/>
    </row>
    <row r="341" spans="1:33">
      <c r="A341" s="585">
        <v>327</v>
      </c>
      <c r="B341" s="587" t="s">
        <v>2729</v>
      </c>
      <c r="C341" s="585">
        <v>327</v>
      </c>
      <c r="D341" s="629" t="s">
        <v>2293</v>
      </c>
      <c r="E341" s="586" t="s">
        <v>235</v>
      </c>
      <c r="F341" s="675">
        <v>6.2548500000000007E-2</v>
      </c>
      <c r="G341" s="676">
        <v>3463.0023344000001</v>
      </c>
      <c r="H341" s="588">
        <v>487.2</v>
      </c>
      <c r="I341" s="587" t="s">
        <v>601</v>
      </c>
      <c r="J341" s="585">
        <v>2</v>
      </c>
      <c r="K341" s="585" t="s">
        <v>729</v>
      </c>
      <c r="L341" s="678">
        <v>348</v>
      </c>
      <c r="M341" s="649" t="s">
        <v>2533</v>
      </c>
      <c r="N341" s="679">
        <v>121.62599999999989</v>
      </c>
      <c r="O341" s="679">
        <v>243.24040000000008</v>
      </c>
      <c r="P341" s="589" t="s">
        <v>2534</v>
      </c>
      <c r="Q341" s="680">
        <v>336.67839999999967</v>
      </c>
      <c r="R341" s="696"/>
      <c r="S341" s="553"/>
      <c r="T341" s="553"/>
      <c r="U341" s="553"/>
      <c r="V341" s="553"/>
      <c r="W341" s="553"/>
      <c r="X341" s="553"/>
      <c r="Y341" s="553"/>
      <c r="Z341" s="553"/>
      <c r="AA341" s="553"/>
      <c r="AB341" s="554"/>
      <c r="AC341" s="555"/>
      <c r="AD341" s="556"/>
      <c r="AE341" s="556"/>
      <c r="AF341" s="556"/>
      <c r="AG341" s="556"/>
    </row>
    <row r="342" spans="1:33">
      <c r="A342" s="585">
        <v>328</v>
      </c>
      <c r="B342" s="587" t="s">
        <v>2730</v>
      </c>
      <c r="C342" s="585">
        <v>328</v>
      </c>
      <c r="D342" s="629" t="s">
        <v>2293</v>
      </c>
      <c r="E342" s="586" t="s">
        <v>236</v>
      </c>
      <c r="F342" s="675">
        <v>4.5063300000000001E-2</v>
      </c>
      <c r="G342" s="676">
        <v>3463.0023344000001</v>
      </c>
      <c r="H342" s="588">
        <v>487.2</v>
      </c>
      <c r="I342" s="587" t="s">
        <v>601</v>
      </c>
      <c r="J342" s="585">
        <v>2</v>
      </c>
      <c r="K342" s="585" t="s">
        <v>730</v>
      </c>
      <c r="L342" s="678">
        <v>348</v>
      </c>
      <c r="M342" s="649" t="s">
        <v>2533</v>
      </c>
      <c r="N342" s="679">
        <v>121.62599999999989</v>
      </c>
      <c r="O342" s="679">
        <v>243.24040000000008</v>
      </c>
      <c r="P342" s="589" t="s">
        <v>2534</v>
      </c>
      <c r="Q342" s="680">
        <v>336.67839999999967</v>
      </c>
      <c r="R342" s="696"/>
      <c r="S342" s="553"/>
      <c r="T342" s="553"/>
      <c r="U342" s="553"/>
      <c r="V342" s="553"/>
      <c r="W342" s="553"/>
      <c r="X342" s="553"/>
      <c r="Y342" s="553"/>
      <c r="Z342" s="553"/>
      <c r="AA342" s="553"/>
      <c r="AB342" s="554"/>
      <c r="AC342" s="555"/>
      <c r="AD342" s="556"/>
      <c r="AE342" s="556"/>
      <c r="AF342" s="556"/>
      <c r="AG342" s="556"/>
    </row>
    <row r="343" spans="1:33">
      <c r="A343" s="585">
        <v>329</v>
      </c>
      <c r="B343" s="587" t="s">
        <v>2731</v>
      </c>
      <c r="C343" s="585">
        <v>329</v>
      </c>
      <c r="D343" s="629" t="s">
        <v>2293</v>
      </c>
      <c r="E343" s="586" t="s">
        <v>237</v>
      </c>
      <c r="F343" s="675">
        <v>5.3330700000000002E-2</v>
      </c>
      <c r="G343" s="676">
        <v>2538.48</v>
      </c>
      <c r="H343" s="588">
        <v>487.2</v>
      </c>
      <c r="I343" s="587" t="s">
        <v>549</v>
      </c>
      <c r="J343" s="585">
        <v>1</v>
      </c>
      <c r="K343" s="585" t="s">
        <v>731</v>
      </c>
      <c r="L343" s="678">
        <v>348</v>
      </c>
      <c r="M343" s="649" t="s">
        <v>2533</v>
      </c>
      <c r="N343" s="679">
        <v>67.071199999999919</v>
      </c>
      <c r="O343" s="679">
        <v>134.15400000000011</v>
      </c>
      <c r="P343" s="589" t="s">
        <v>2534</v>
      </c>
      <c r="Q343" s="680">
        <v>336.67839999999967</v>
      </c>
      <c r="R343" s="696"/>
      <c r="S343" s="553"/>
      <c r="T343" s="553"/>
      <c r="U343" s="553"/>
      <c r="V343" s="553"/>
      <c r="W343" s="553"/>
      <c r="X343" s="553"/>
      <c r="Y343" s="553"/>
      <c r="Z343" s="553"/>
      <c r="AA343" s="553"/>
      <c r="AB343" s="554"/>
      <c r="AC343" s="555"/>
      <c r="AD343" s="556"/>
      <c r="AE343" s="556"/>
      <c r="AF343" s="556"/>
      <c r="AG343" s="556"/>
    </row>
    <row r="344" spans="1:33">
      <c r="A344" s="585">
        <v>330</v>
      </c>
      <c r="B344" s="587" t="s">
        <v>2732</v>
      </c>
      <c r="C344" s="585">
        <v>330</v>
      </c>
      <c r="D344" s="629" t="s">
        <v>2293</v>
      </c>
      <c r="E344" s="586" t="s">
        <v>238</v>
      </c>
      <c r="F344" s="675">
        <v>5.2530500000000001E-2</v>
      </c>
      <c r="G344" s="676">
        <v>2538.48</v>
      </c>
      <c r="H344" s="588">
        <v>487.2</v>
      </c>
      <c r="I344" s="587" t="s">
        <v>549</v>
      </c>
      <c r="J344" s="585">
        <v>1</v>
      </c>
      <c r="K344" s="585" t="s">
        <v>732</v>
      </c>
      <c r="L344" s="678">
        <v>348</v>
      </c>
      <c r="M344" s="649" t="s">
        <v>2533</v>
      </c>
      <c r="N344" s="679">
        <v>67.071199999999919</v>
      </c>
      <c r="O344" s="679">
        <v>134.15400000000011</v>
      </c>
      <c r="P344" s="589" t="s">
        <v>2534</v>
      </c>
      <c r="Q344" s="680">
        <v>336.67839999999967</v>
      </c>
      <c r="R344" s="696"/>
      <c r="S344" s="553"/>
      <c r="T344" s="553"/>
      <c r="U344" s="553"/>
      <c r="V344" s="553"/>
      <c r="W344" s="553"/>
      <c r="X344" s="553"/>
      <c r="Y344" s="553"/>
      <c r="Z344" s="553"/>
      <c r="AA344" s="553"/>
      <c r="AB344" s="554"/>
      <c r="AC344" s="555"/>
      <c r="AD344" s="556"/>
      <c r="AE344" s="556"/>
      <c r="AF344" s="556"/>
      <c r="AG344" s="556"/>
    </row>
    <row r="345" spans="1:33">
      <c r="A345" s="585">
        <v>331</v>
      </c>
      <c r="B345" s="587" t="s">
        <v>2733</v>
      </c>
      <c r="C345" s="585">
        <v>331</v>
      </c>
      <c r="D345" s="629" t="s">
        <v>2293</v>
      </c>
      <c r="E345" s="586" t="s">
        <v>239</v>
      </c>
      <c r="F345" s="675">
        <v>5.2530500000000001E-2</v>
      </c>
      <c r="G345" s="676">
        <v>2538.48</v>
      </c>
      <c r="H345" s="588">
        <v>487.2</v>
      </c>
      <c r="I345" s="587" t="s">
        <v>549</v>
      </c>
      <c r="J345" s="585">
        <v>1</v>
      </c>
      <c r="K345" s="585" t="s">
        <v>733</v>
      </c>
      <c r="L345" s="678">
        <v>348</v>
      </c>
      <c r="M345" s="649" t="s">
        <v>2533</v>
      </c>
      <c r="N345" s="679">
        <v>67.071199999999919</v>
      </c>
      <c r="O345" s="679">
        <v>134.15400000000011</v>
      </c>
      <c r="P345" s="589" t="s">
        <v>2534</v>
      </c>
      <c r="Q345" s="680">
        <v>336.67839999999967</v>
      </c>
      <c r="R345" s="696"/>
      <c r="S345" s="553"/>
      <c r="T345" s="553"/>
      <c r="U345" s="553"/>
      <c r="V345" s="553"/>
      <c r="W345" s="553"/>
      <c r="X345" s="553"/>
      <c r="Y345" s="553"/>
      <c r="Z345" s="553"/>
      <c r="AA345" s="553"/>
      <c r="AB345" s="554"/>
      <c r="AC345" s="555"/>
      <c r="AD345" s="556"/>
      <c r="AE345" s="556"/>
      <c r="AF345" s="556"/>
      <c r="AG345" s="556"/>
    </row>
    <row r="346" spans="1:33">
      <c r="A346" s="585">
        <v>332</v>
      </c>
      <c r="B346" s="587" t="s">
        <v>2734</v>
      </c>
      <c r="C346" s="585">
        <v>332</v>
      </c>
      <c r="D346" s="629" t="s">
        <v>2293</v>
      </c>
      <c r="E346" s="586" t="s">
        <v>240</v>
      </c>
      <c r="F346" s="675">
        <v>3.2326100000000003E-2</v>
      </c>
      <c r="G346" s="676">
        <v>2538.48</v>
      </c>
      <c r="H346" s="588">
        <v>487.2</v>
      </c>
      <c r="I346" s="587" t="s">
        <v>549</v>
      </c>
      <c r="J346" s="585">
        <v>1</v>
      </c>
      <c r="K346" s="585" t="s">
        <v>734</v>
      </c>
      <c r="L346" s="678">
        <v>348</v>
      </c>
      <c r="M346" s="649" t="s">
        <v>2533</v>
      </c>
      <c r="N346" s="679">
        <v>67.071199999999919</v>
      </c>
      <c r="O346" s="679">
        <v>134.15400000000011</v>
      </c>
      <c r="P346" s="589" t="s">
        <v>2534</v>
      </c>
      <c r="Q346" s="680">
        <v>336.67839999999967</v>
      </c>
      <c r="R346" s="696"/>
      <c r="S346" s="553"/>
      <c r="T346" s="553"/>
      <c r="U346" s="553"/>
      <c r="V346" s="553"/>
      <c r="W346" s="553"/>
      <c r="X346" s="553"/>
      <c r="Y346" s="553"/>
      <c r="Z346" s="553"/>
      <c r="AA346" s="553"/>
      <c r="AB346" s="554"/>
      <c r="AC346" s="555"/>
      <c r="AD346" s="556"/>
      <c r="AE346" s="556"/>
      <c r="AF346" s="556"/>
      <c r="AG346" s="556"/>
    </row>
    <row r="347" spans="1:33">
      <c r="A347" s="585">
        <v>333</v>
      </c>
      <c r="B347" s="587" t="s">
        <v>2735</v>
      </c>
      <c r="C347" s="585">
        <v>333</v>
      </c>
      <c r="D347" s="629" t="s">
        <v>2293</v>
      </c>
      <c r="E347" s="586" t="s">
        <v>241</v>
      </c>
      <c r="F347" s="675">
        <v>4.8255299999999994E-2</v>
      </c>
      <c r="G347" s="676">
        <v>2538.48</v>
      </c>
      <c r="H347" s="588">
        <v>487.2</v>
      </c>
      <c r="I347" s="587" t="s">
        <v>549</v>
      </c>
      <c r="J347" s="585">
        <v>1</v>
      </c>
      <c r="K347" s="585" t="s">
        <v>735</v>
      </c>
      <c r="L347" s="678">
        <v>348</v>
      </c>
      <c r="M347" s="649" t="s">
        <v>2533</v>
      </c>
      <c r="N347" s="679">
        <v>67.071199999999919</v>
      </c>
      <c r="O347" s="679">
        <v>134.15400000000011</v>
      </c>
      <c r="P347" s="589" t="s">
        <v>2534</v>
      </c>
      <c r="Q347" s="680">
        <v>336.67839999999967</v>
      </c>
      <c r="R347" s="696"/>
      <c r="S347" s="553"/>
      <c r="T347" s="553"/>
      <c r="U347" s="553"/>
      <c r="V347" s="553"/>
      <c r="W347" s="553"/>
      <c r="X347" s="553"/>
      <c r="Y347" s="553"/>
      <c r="Z347" s="553"/>
      <c r="AA347" s="553"/>
      <c r="AB347" s="554"/>
      <c r="AC347" s="555"/>
      <c r="AD347" s="556"/>
      <c r="AE347" s="556"/>
      <c r="AF347" s="556"/>
      <c r="AG347" s="556"/>
    </row>
    <row r="348" spans="1:33">
      <c r="A348" s="585">
        <v>334</v>
      </c>
      <c r="B348" s="587" t="s">
        <v>2736</v>
      </c>
      <c r="C348" s="585">
        <v>334</v>
      </c>
      <c r="D348" s="629" t="s">
        <v>2293</v>
      </c>
      <c r="E348" s="586" t="s">
        <v>242</v>
      </c>
      <c r="F348" s="675">
        <v>5.2530500000000001E-2</v>
      </c>
      <c r="G348" s="676">
        <v>2538.48</v>
      </c>
      <c r="H348" s="588">
        <v>487.2</v>
      </c>
      <c r="I348" s="587" t="s">
        <v>549</v>
      </c>
      <c r="J348" s="585">
        <v>1</v>
      </c>
      <c r="K348" s="585" t="s">
        <v>736</v>
      </c>
      <c r="L348" s="678">
        <v>348</v>
      </c>
      <c r="M348" s="649" t="s">
        <v>2533</v>
      </c>
      <c r="N348" s="679">
        <v>67.071199999999919</v>
      </c>
      <c r="O348" s="679">
        <v>134.15400000000011</v>
      </c>
      <c r="P348" s="589" t="s">
        <v>2534</v>
      </c>
      <c r="Q348" s="680">
        <v>336.67839999999967</v>
      </c>
      <c r="R348" s="696"/>
      <c r="S348" s="553"/>
      <c r="T348" s="553"/>
      <c r="U348" s="553"/>
      <c r="V348" s="553"/>
      <c r="W348" s="553"/>
      <c r="X348" s="553"/>
      <c r="Y348" s="553"/>
      <c r="Z348" s="553"/>
      <c r="AA348" s="553"/>
      <c r="AB348" s="554"/>
      <c r="AC348" s="555"/>
      <c r="AD348" s="556"/>
      <c r="AE348" s="556"/>
      <c r="AF348" s="556"/>
      <c r="AG348" s="556"/>
    </row>
    <row r="349" spans="1:33">
      <c r="A349" s="585">
        <v>335</v>
      </c>
      <c r="B349" s="587" t="s">
        <v>2737</v>
      </c>
      <c r="C349" s="585">
        <v>335</v>
      </c>
      <c r="D349" s="629" t="s">
        <v>2293</v>
      </c>
      <c r="E349" s="586" t="s">
        <v>243</v>
      </c>
      <c r="F349" s="675">
        <v>4.8255299999999994E-2</v>
      </c>
      <c r="G349" s="676">
        <v>2538.48</v>
      </c>
      <c r="H349" s="588">
        <v>487.2</v>
      </c>
      <c r="I349" s="587" t="s">
        <v>549</v>
      </c>
      <c r="J349" s="585">
        <v>1</v>
      </c>
      <c r="K349" s="585" t="s">
        <v>737</v>
      </c>
      <c r="L349" s="678">
        <v>348</v>
      </c>
      <c r="M349" s="649" t="s">
        <v>2533</v>
      </c>
      <c r="N349" s="679">
        <v>67.071199999999919</v>
      </c>
      <c r="O349" s="679">
        <v>134.15400000000011</v>
      </c>
      <c r="P349" s="589" t="s">
        <v>2534</v>
      </c>
      <c r="Q349" s="680">
        <v>336.67839999999967</v>
      </c>
      <c r="R349" s="696"/>
      <c r="S349" s="553"/>
      <c r="T349" s="553"/>
      <c r="U349" s="553"/>
      <c r="V349" s="553"/>
      <c r="W349" s="553"/>
      <c r="X349" s="553"/>
      <c r="Y349" s="553"/>
      <c r="Z349" s="553"/>
      <c r="AA349" s="553"/>
      <c r="AB349" s="554"/>
      <c r="AC349" s="555"/>
      <c r="AD349" s="556"/>
      <c r="AE349" s="556"/>
      <c r="AF349" s="556"/>
      <c r="AG349" s="556"/>
    </row>
    <row r="350" spans="1:33">
      <c r="A350" s="585">
        <v>336</v>
      </c>
      <c r="B350" s="587" t="s">
        <v>2738</v>
      </c>
      <c r="C350" s="585">
        <v>336</v>
      </c>
      <c r="D350" s="629" t="s">
        <v>2293</v>
      </c>
      <c r="E350" s="586" t="s">
        <v>244</v>
      </c>
      <c r="F350" s="675">
        <v>7.7356900000000006E-2</v>
      </c>
      <c r="G350" s="676">
        <v>2538.48</v>
      </c>
      <c r="H350" s="588">
        <v>487.2</v>
      </c>
      <c r="I350" s="587" t="s">
        <v>549</v>
      </c>
      <c r="J350" s="585">
        <v>1</v>
      </c>
      <c r="K350" s="585" t="s">
        <v>738</v>
      </c>
      <c r="L350" s="678">
        <v>348</v>
      </c>
      <c r="M350" s="649" t="s">
        <v>2533</v>
      </c>
      <c r="N350" s="679">
        <v>67.071199999999919</v>
      </c>
      <c r="O350" s="679">
        <v>134.15400000000011</v>
      </c>
      <c r="P350" s="589" t="s">
        <v>2534</v>
      </c>
      <c r="Q350" s="680">
        <v>336.67839999999967</v>
      </c>
      <c r="R350" s="696"/>
      <c r="S350" s="553"/>
      <c r="T350" s="553"/>
      <c r="U350" s="553"/>
      <c r="V350" s="553"/>
      <c r="W350" s="553"/>
      <c r="X350" s="553"/>
      <c r="Y350" s="553"/>
      <c r="Z350" s="553"/>
      <c r="AA350" s="553"/>
      <c r="AB350" s="554"/>
      <c r="AC350" s="555"/>
      <c r="AD350" s="556"/>
      <c r="AE350" s="556"/>
      <c r="AF350" s="556"/>
      <c r="AG350" s="556"/>
    </row>
    <row r="351" spans="1:33">
      <c r="A351" s="585">
        <v>337</v>
      </c>
      <c r="B351" s="587" t="s">
        <v>2739</v>
      </c>
      <c r="C351" s="585">
        <v>337</v>
      </c>
      <c r="D351" s="629" t="s">
        <v>2293</v>
      </c>
      <c r="E351" s="586" t="s">
        <v>245</v>
      </c>
      <c r="F351" s="675">
        <v>3.8046700000000003E-2</v>
      </c>
      <c r="G351" s="676">
        <v>2538.48</v>
      </c>
      <c r="H351" s="588">
        <v>487.2</v>
      </c>
      <c r="I351" s="587" t="s">
        <v>549</v>
      </c>
      <c r="J351" s="585">
        <v>1</v>
      </c>
      <c r="K351" s="585" t="s">
        <v>739</v>
      </c>
      <c r="L351" s="678">
        <v>348</v>
      </c>
      <c r="M351" s="649" t="s">
        <v>2533</v>
      </c>
      <c r="N351" s="679">
        <v>67.071199999999919</v>
      </c>
      <c r="O351" s="679">
        <v>134.15400000000011</v>
      </c>
      <c r="P351" s="589" t="s">
        <v>2534</v>
      </c>
      <c r="Q351" s="680">
        <v>336.67839999999967</v>
      </c>
      <c r="R351" s="696"/>
      <c r="S351" s="553"/>
      <c r="T351" s="553"/>
      <c r="U351" s="553"/>
      <c r="V351" s="553"/>
      <c r="W351" s="553"/>
      <c r="X351" s="553"/>
      <c r="Y351" s="553"/>
      <c r="Z351" s="553"/>
      <c r="AA351" s="553"/>
      <c r="AB351" s="554"/>
      <c r="AC351" s="555"/>
      <c r="AD351" s="556"/>
      <c r="AE351" s="556"/>
      <c r="AF351" s="556"/>
      <c r="AG351" s="556"/>
    </row>
    <row r="352" spans="1:33">
      <c r="A352" s="585">
        <v>338</v>
      </c>
      <c r="B352" s="587" t="s">
        <v>2740</v>
      </c>
      <c r="C352" s="585">
        <v>338</v>
      </c>
      <c r="D352" s="629" t="s">
        <v>2293</v>
      </c>
      <c r="E352" s="586" t="s">
        <v>246</v>
      </c>
      <c r="F352" s="675">
        <v>3.7002500000000001E-2</v>
      </c>
      <c r="G352" s="676">
        <v>2538.48</v>
      </c>
      <c r="H352" s="588">
        <v>487.2</v>
      </c>
      <c r="I352" s="587" t="s">
        <v>549</v>
      </c>
      <c r="J352" s="585">
        <v>1</v>
      </c>
      <c r="K352" s="585" t="s">
        <v>740</v>
      </c>
      <c r="L352" s="678">
        <v>348</v>
      </c>
      <c r="M352" s="649" t="s">
        <v>2533</v>
      </c>
      <c r="N352" s="679">
        <v>67.071199999999919</v>
      </c>
      <c r="O352" s="679">
        <v>134.15400000000011</v>
      </c>
      <c r="P352" s="589" t="s">
        <v>2534</v>
      </c>
      <c r="Q352" s="680">
        <v>336.67839999999967</v>
      </c>
      <c r="R352" s="696"/>
      <c r="S352" s="553"/>
      <c r="T352" s="553"/>
      <c r="U352" s="553"/>
      <c r="V352" s="553"/>
      <c r="W352" s="553"/>
      <c r="X352" s="553"/>
      <c r="Y352" s="553"/>
      <c r="Z352" s="553"/>
      <c r="AA352" s="553"/>
      <c r="AB352" s="554"/>
      <c r="AC352" s="555"/>
      <c r="AD352" s="556"/>
      <c r="AE352" s="556"/>
      <c r="AF352" s="556"/>
      <c r="AG352" s="556"/>
    </row>
    <row r="353" spans="1:33">
      <c r="A353" s="585">
        <v>339</v>
      </c>
      <c r="B353" s="587" t="s">
        <v>2741</v>
      </c>
      <c r="C353" s="585">
        <v>339</v>
      </c>
      <c r="D353" s="629" t="s">
        <v>2293</v>
      </c>
      <c r="E353" s="586" t="s">
        <v>247</v>
      </c>
      <c r="F353" s="675">
        <v>2.8655E-2</v>
      </c>
      <c r="G353" s="676">
        <v>2538.48</v>
      </c>
      <c r="H353" s="588">
        <v>487.2</v>
      </c>
      <c r="I353" s="587" t="s">
        <v>549</v>
      </c>
      <c r="J353" s="585">
        <v>1</v>
      </c>
      <c r="K353" s="585" t="s">
        <v>741</v>
      </c>
      <c r="L353" s="678">
        <v>348</v>
      </c>
      <c r="M353" s="649" t="s">
        <v>2533</v>
      </c>
      <c r="N353" s="679">
        <v>67.071199999999919</v>
      </c>
      <c r="O353" s="679">
        <v>134.15400000000011</v>
      </c>
      <c r="P353" s="589" t="s">
        <v>2534</v>
      </c>
      <c r="Q353" s="680">
        <v>336.67839999999967</v>
      </c>
      <c r="R353" s="696"/>
      <c r="S353" s="553"/>
      <c r="T353" s="553"/>
      <c r="U353" s="553"/>
      <c r="V353" s="553"/>
      <c r="W353" s="553"/>
      <c r="X353" s="553"/>
      <c r="Y353" s="553"/>
      <c r="Z353" s="553"/>
      <c r="AA353" s="553"/>
      <c r="AB353" s="554"/>
      <c r="AC353" s="555"/>
      <c r="AD353" s="556"/>
      <c r="AE353" s="556"/>
      <c r="AF353" s="556"/>
      <c r="AG353" s="556"/>
    </row>
    <row r="354" spans="1:33">
      <c r="A354" s="585">
        <v>340</v>
      </c>
      <c r="B354" s="587" t="s">
        <v>2742</v>
      </c>
      <c r="C354" s="585">
        <v>340</v>
      </c>
      <c r="D354" s="629" t="s">
        <v>2293</v>
      </c>
      <c r="E354" s="586" t="s">
        <v>248</v>
      </c>
      <c r="F354" s="675">
        <v>3.6517500000000001E-2</v>
      </c>
      <c r="G354" s="676">
        <v>2538.48</v>
      </c>
      <c r="H354" s="588">
        <v>487.2</v>
      </c>
      <c r="I354" s="587" t="s">
        <v>549</v>
      </c>
      <c r="J354" s="585">
        <v>1</v>
      </c>
      <c r="K354" s="585" t="s">
        <v>742</v>
      </c>
      <c r="L354" s="678">
        <v>348</v>
      </c>
      <c r="M354" s="649" t="s">
        <v>2533</v>
      </c>
      <c r="N354" s="679">
        <v>67.071199999999919</v>
      </c>
      <c r="O354" s="679">
        <v>134.15400000000011</v>
      </c>
      <c r="P354" s="589" t="s">
        <v>2534</v>
      </c>
      <c r="Q354" s="680">
        <v>336.67839999999967</v>
      </c>
      <c r="R354" s="696"/>
      <c r="S354" s="553"/>
      <c r="T354" s="553"/>
      <c r="U354" s="553"/>
      <c r="V354" s="553"/>
      <c r="W354" s="553"/>
      <c r="X354" s="553"/>
      <c r="Y354" s="553"/>
      <c r="Z354" s="553"/>
      <c r="AA354" s="553"/>
      <c r="AB354" s="554"/>
      <c r="AC354" s="555"/>
      <c r="AD354" s="556"/>
      <c r="AE354" s="556"/>
      <c r="AF354" s="556"/>
      <c r="AG354" s="556"/>
    </row>
    <row r="355" spans="1:33">
      <c r="A355" s="585">
        <v>341</v>
      </c>
      <c r="B355" s="587" t="s">
        <v>2743</v>
      </c>
      <c r="C355" s="585">
        <v>341</v>
      </c>
      <c r="D355" s="629" t="s">
        <v>2293</v>
      </c>
      <c r="E355" s="586" t="s">
        <v>249</v>
      </c>
      <c r="F355" s="675">
        <v>4.3004199999999999E-2</v>
      </c>
      <c r="G355" s="676">
        <v>2538.48</v>
      </c>
      <c r="H355" s="588">
        <v>487.2</v>
      </c>
      <c r="I355" s="587" t="s">
        <v>549</v>
      </c>
      <c r="J355" s="585">
        <v>1</v>
      </c>
      <c r="K355" s="585" t="s">
        <v>743</v>
      </c>
      <c r="L355" s="678">
        <v>348</v>
      </c>
      <c r="M355" s="649" t="s">
        <v>2533</v>
      </c>
      <c r="N355" s="679">
        <v>67.071199999999919</v>
      </c>
      <c r="O355" s="679">
        <v>134.15400000000011</v>
      </c>
      <c r="P355" s="589" t="s">
        <v>2534</v>
      </c>
      <c r="Q355" s="680">
        <v>336.67839999999967</v>
      </c>
      <c r="R355" s="696"/>
      <c r="S355" s="553"/>
      <c r="T355" s="553"/>
      <c r="U355" s="553"/>
      <c r="V355" s="553"/>
      <c r="W355" s="553"/>
      <c r="X355" s="553"/>
      <c r="Y355" s="553"/>
      <c r="Z355" s="553"/>
      <c r="AA355" s="553"/>
      <c r="AB355" s="554"/>
      <c r="AC355" s="555"/>
      <c r="AD355" s="556"/>
      <c r="AE355" s="556"/>
      <c r="AF355" s="556"/>
      <c r="AG355" s="556"/>
    </row>
    <row r="356" spans="1:33">
      <c r="A356" s="585">
        <v>342</v>
      </c>
      <c r="B356" s="587" t="s">
        <v>2744</v>
      </c>
      <c r="C356" s="585">
        <v>342</v>
      </c>
      <c r="D356" s="629" t="s">
        <v>2293</v>
      </c>
      <c r="E356" s="586" t="s">
        <v>250</v>
      </c>
      <c r="F356" s="675">
        <v>4.1047300000000002E-2</v>
      </c>
      <c r="G356" s="676">
        <v>2538.48</v>
      </c>
      <c r="H356" s="588">
        <v>487.2</v>
      </c>
      <c r="I356" s="587" t="s">
        <v>549</v>
      </c>
      <c r="J356" s="585">
        <v>1</v>
      </c>
      <c r="K356" s="585" t="s">
        <v>744</v>
      </c>
      <c r="L356" s="678">
        <v>348</v>
      </c>
      <c r="M356" s="649" t="s">
        <v>2533</v>
      </c>
      <c r="N356" s="679">
        <v>67.071199999999919</v>
      </c>
      <c r="O356" s="679">
        <v>134.15400000000011</v>
      </c>
      <c r="P356" s="589" t="s">
        <v>2534</v>
      </c>
      <c r="Q356" s="680">
        <v>336.67839999999967</v>
      </c>
      <c r="R356" s="696"/>
      <c r="S356" s="553"/>
      <c r="T356" s="553"/>
      <c r="U356" s="553"/>
      <c r="V356" s="553"/>
      <c r="W356" s="553"/>
      <c r="X356" s="553"/>
      <c r="Y356" s="553"/>
      <c r="Z356" s="553"/>
      <c r="AA356" s="553"/>
      <c r="AB356" s="554"/>
      <c r="AC356" s="555"/>
      <c r="AD356" s="556"/>
      <c r="AE356" s="556"/>
      <c r="AF356" s="556"/>
      <c r="AG356" s="556"/>
    </row>
    <row r="357" spans="1:33">
      <c r="A357" s="585">
        <v>343</v>
      </c>
      <c r="B357" s="587" t="s">
        <v>2745</v>
      </c>
      <c r="C357" s="585">
        <v>343</v>
      </c>
      <c r="D357" s="629" t="s">
        <v>2293</v>
      </c>
      <c r="E357" s="586" t="s">
        <v>2746</v>
      </c>
      <c r="F357" s="675">
        <v>3.8607099999999998E-2</v>
      </c>
      <c r="G357" s="676">
        <v>2538.48</v>
      </c>
      <c r="H357" s="588">
        <v>487.2</v>
      </c>
      <c r="I357" s="587" t="s">
        <v>549</v>
      </c>
      <c r="J357" s="585">
        <v>1</v>
      </c>
      <c r="K357" s="585" t="s">
        <v>2747</v>
      </c>
      <c r="L357" s="678">
        <v>348</v>
      </c>
      <c r="M357" s="649" t="s">
        <v>2533</v>
      </c>
      <c r="N357" s="679">
        <v>67.071199999999919</v>
      </c>
      <c r="O357" s="679">
        <v>134.15400000000011</v>
      </c>
      <c r="P357" s="589" t="s">
        <v>2534</v>
      </c>
      <c r="Q357" s="680">
        <v>336.67839999999967</v>
      </c>
      <c r="R357" s="696"/>
      <c r="S357" s="553"/>
      <c r="T357" s="553"/>
      <c r="U357" s="553"/>
      <c r="V357" s="553"/>
      <c r="W357" s="553"/>
      <c r="X357" s="553"/>
      <c r="Y357" s="553"/>
      <c r="Z357" s="553"/>
      <c r="AA357" s="553"/>
      <c r="AB357" s="554"/>
      <c r="AC357" s="555"/>
      <c r="AD357" s="556"/>
      <c r="AE357" s="556"/>
      <c r="AF357" s="556"/>
      <c r="AG357" s="556"/>
    </row>
    <row r="358" spans="1:33">
      <c r="A358" s="585">
        <v>344</v>
      </c>
      <c r="B358" s="587" t="s">
        <v>2748</v>
      </c>
      <c r="C358" s="585">
        <v>344</v>
      </c>
      <c r="D358" s="629" t="s">
        <v>2293</v>
      </c>
      <c r="E358" s="586" t="s">
        <v>251</v>
      </c>
      <c r="F358" s="675">
        <v>5.13261E-2</v>
      </c>
      <c r="G358" s="676">
        <v>2538.48</v>
      </c>
      <c r="H358" s="588">
        <v>487.2</v>
      </c>
      <c r="I358" s="587" t="s">
        <v>549</v>
      </c>
      <c r="J358" s="585">
        <v>1</v>
      </c>
      <c r="K358" s="585" t="s">
        <v>745</v>
      </c>
      <c r="L358" s="678">
        <v>348</v>
      </c>
      <c r="M358" s="649" t="s">
        <v>2533</v>
      </c>
      <c r="N358" s="679">
        <v>67.071199999999919</v>
      </c>
      <c r="O358" s="679">
        <v>134.15400000000011</v>
      </c>
      <c r="P358" s="589" t="s">
        <v>2534</v>
      </c>
      <c r="Q358" s="680">
        <v>336.67839999999967</v>
      </c>
      <c r="R358" s="696"/>
      <c r="S358" s="553"/>
      <c r="T358" s="553"/>
      <c r="U358" s="553"/>
      <c r="V358" s="553"/>
      <c r="W358" s="553"/>
      <c r="X358" s="553"/>
      <c r="Y358" s="553"/>
      <c r="Z358" s="553"/>
      <c r="AA358" s="553"/>
      <c r="AB358" s="554"/>
      <c r="AC358" s="555"/>
      <c r="AD358" s="556"/>
      <c r="AE358" s="556"/>
      <c r="AF358" s="556"/>
      <c r="AG358" s="556"/>
    </row>
    <row r="359" spans="1:33">
      <c r="A359" s="585">
        <v>345</v>
      </c>
      <c r="B359" s="587" t="s">
        <v>2749</v>
      </c>
      <c r="C359" s="585">
        <v>345</v>
      </c>
      <c r="D359" s="629" t="s">
        <v>2293</v>
      </c>
      <c r="E359" s="586" t="s">
        <v>252</v>
      </c>
      <c r="F359" s="675">
        <v>3.4648699999999998E-2</v>
      </c>
      <c r="G359" s="676">
        <v>2538.48</v>
      </c>
      <c r="H359" s="588">
        <v>487.2</v>
      </c>
      <c r="I359" s="587" t="s">
        <v>549</v>
      </c>
      <c r="J359" s="585">
        <v>1</v>
      </c>
      <c r="K359" s="585" t="s">
        <v>746</v>
      </c>
      <c r="L359" s="678">
        <v>348</v>
      </c>
      <c r="M359" s="649" t="s">
        <v>2533</v>
      </c>
      <c r="N359" s="679">
        <v>67.071199999999919</v>
      </c>
      <c r="O359" s="679">
        <v>134.15400000000011</v>
      </c>
      <c r="P359" s="589" t="s">
        <v>2534</v>
      </c>
      <c r="Q359" s="680">
        <v>336.67839999999967</v>
      </c>
      <c r="R359" s="696"/>
      <c r="S359" s="553"/>
      <c r="T359" s="553"/>
      <c r="U359" s="553"/>
      <c r="V359" s="553"/>
      <c r="W359" s="553"/>
      <c r="X359" s="553"/>
      <c r="Y359" s="553"/>
      <c r="Z359" s="553"/>
      <c r="AA359" s="553"/>
      <c r="AB359" s="554"/>
      <c r="AC359" s="555"/>
      <c r="AD359" s="556"/>
      <c r="AE359" s="556"/>
      <c r="AF359" s="556"/>
      <c r="AG359" s="556"/>
    </row>
    <row r="360" spans="1:33">
      <c r="A360" s="585">
        <v>346</v>
      </c>
      <c r="B360" s="587" t="s">
        <v>2750</v>
      </c>
      <c r="C360" s="585">
        <v>346</v>
      </c>
      <c r="D360" s="629" t="s">
        <v>2228</v>
      </c>
      <c r="E360" s="586" t="s">
        <v>253</v>
      </c>
      <c r="F360" s="675">
        <v>4.2187299999999997E-2</v>
      </c>
      <c r="G360" s="676">
        <v>2538.48</v>
      </c>
      <c r="H360" s="588">
        <v>487.2</v>
      </c>
      <c r="I360" s="587" t="s">
        <v>549</v>
      </c>
      <c r="J360" s="585">
        <v>1</v>
      </c>
      <c r="K360" s="585" t="s">
        <v>747</v>
      </c>
      <c r="L360" s="678">
        <v>348</v>
      </c>
      <c r="M360" s="649" t="s">
        <v>2533</v>
      </c>
      <c r="N360" s="679">
        <v>67.071199999999919</v>
      </c>
      <c r="O360" s="679">
        <v>134.15400000000011</v>
      </c>
      <c r="P360" s="589" t="s">
        <v>2534</v>
      </c>
      <c r="Q360" s="680">
        <v>336.67839999999967</v>
      </c>
      <c r="R360" s="696"/>
      <c r="S360" s="553"/>
      <c r="T360" s="553"/>
      <c r="U360" s="553"/>
      <c r="V360" s="553"/>
      <c r="W360" s="553"/>
      <c r="X360" s="553"/>
      <c r="Y360" s="553"/>
      <c r="Z360" s="553"/>
      <c r="AA360" s="553"/>
      <c r="AB360" s="554"/>
      <c r="AC360" s="555"/>
      <c r="AD360" s="556"/>
      <c r="AE360" s="556"/>
      <c r="AF360" s="556"/>
      <c r="AG360" s="556"/>
    </row>
    <row r="361" spans="1:33">
      <c r="A361" s="585">
        <v>347</v>
      </c>
      <c r="B361" s="587" t="s">
        <v>2751</v>
      </c>
      <c r="C361" s="585">
        <v>347</v>
      </c>
      <c r="D361" s="629" t="s">
        <v>2228</v>
      </c>
      <c r="E361" s="586" t="s">
        <v>254</v>
      </c>
      <c r="F361" s="675">
        <v>6.2548500000000007E-2</v>
      </c>
      <c r="G361" s="676">
        <v>3463.0023344000001</v>
      </c>
      <c r="H361" s="588">
        <v>487.2</v>
      </c>
      <c r="I361" s="587" t="s">
        <v>601</v>
      </c>
      <c r="J361" s="585">
        <v>2</v>
      </c>
      <c r="K361" s="585" t="s">
        <v>748</v>
      </c>
      <c r="L361" s="678">
        <v>348</v>
      </c>
      <c r="M361" s="649" t="s">
        <v>2533</v>
      </c>
      <c r="N361" s="679">
        <v>121.62599999999989</v>
      </c>
      <c r="O361" s="679">
        <v>243.24040000000008</v>
      </c>
      <c r="P361" s="589" t="s">
        <v>2534</v>
      </c>
      <c r="Q361" s="680">
        <v>336.67839999999967</v>
      </c>
      <c r="R361" s="696"/>
      <c r="S361" s="553"/>
      <c r="T361" s="553"/>
      <c r="U361" s="553"/>
      <c r="V361" s="553"/>
      <c r="W361" s="553"/>
      <c r="X361" s="553"/>
      <c r="Y361" s="553"/>
      <c r="Z361" s="553"/>
      <c r="AA361" s="553"/>
      <c r="AB361" s="554"/>
      <c r="AC361" s="555"/>
      <c r="AD361" s="556"/>
      <c r="AE361" s="556"/>
      <c r="AF361" s="556"/>
      <c r="AG361" s="556"/>
    </row>
    <row r="362" spans="1:33">
      <c r="A362" s="585">
        <v>348</v>
      </c>
      <c r="B362" s="587" t="s">
        <v>2752</v>
      </c>
      <c r="C362" s="585">
        <v>348</v>
      </c>
      <c r="D362" s="629" t="s">
        <v>2228</v>
      </c>
      <c r="E362" s="586" t="s">
        <v>255</v>
      </c>
      <c r="F362" s="675">
        <v>6.2548500000000007E-2</v>
      </c>
      <c r="G362" s="676">
        <v>3463.0023344000001</v>
      </c>
      <c r="H362" s="588">
        <v>487.2</v>
      </c>
      <c r="I362" s="587" t="s">
        <v>601</v>
      </c>
      <c r="J362" s="585">
        <v>2</v>
      </c>
      <c r="K362" s="585" t="s">
        <v>749</v>
      </c>
      <c r="L362" s="678">
        <v>348</v>
      </c>
      <c r="M362" s="649" t="s">
        <v>2533</v>
      </c>
      <c r="N362" s="679">
        <v>121.62599999999989</v>
      </c>
      <c r="O362" s="679">
        <v>243.24040000000008</v>
      </c>
      <c r="P362" s="589" t="s">
        <v>2534</v>
      </c>
      <c r="Q362" s="680">
        <v>336.67839999999967</v>
      </c>
      <c r="R362" s="696"/>
      <c r="S362" s="553"/>
      <c r="T362" s="553"/>
      <c r="U362" s="553"/>
      <c r="V362" s="553"/>
      <c r="W362" s="553"/>
      <c r="X362" s="553"/>
      <c r="Y362" s="553"/>
      <c r="Z362" s="553"/>
      <c r="AA362" s="553"/>
      <c r="AB362" s="554"/>
      <c r="AC362" s="555"/>
      <c r="AD362" s="556"/>
      <c r="AE362" s="556"/>
      <c r="AF362" s="556"/>
      <c r="AG362" s="556"/>
    </row>
    <row r="363" spans="1:33">
      <c r="A363" s="585">
        <v>349</v>
      </c>
      <c r="B363" s="587" t="s">
        <v>2753</v>
      </c>
      <c r="C363" s="585">
        <v>349</v>
      </c>
      <c r="D363" s="629" t="s">
        <v>2228</v>
      </c>
      <c r="E363" s="586" t="s">
        <v>256</v>
      </c>
      <c r="F363" s="675">
        <v>4.0225700000000003E-2</v>
      </c>
      <c r="G363" s="676">
        <v>2538.48</v>
      </c>
      <c r="H363" s="588">
        <v>487.2</v>
      </c>
      <c r="I363" s="587" t="s">
        <v>549</v>
      </c>
      <c r="J363" s="585">
        <v>1</v>
      </c>
      <c r="K363" s="585" t="s">
        <v>750</v>
      </c>
      <c r="L363" s="678">
        <v>348</v>
      </c>
      <c r="M363" s="649" t="s">
        <v>2533</v>
      </c>
      <c r="N363" s="679">
        <v>67.071199999999919</v>
      </c>
      <c r="O363" s="679">
        <v>134.15400000000011</v>
      </c>
      <c r="P363" s="589" t="s">
        <v>2534</v>
      </c>
      <c r="Q363" s="680">
        <v>336.67839999999967</v>
      </c>
      <c r="R363" s="696"/>
      <c r="S363" s="553"/>
      <c r="T363" s="553"/>
      <c r="U363" s="553"/>
      <c r="V363" s="553"/>
      <c r="W363" s="553"/>
      <c r="X363" s="553"/>
      <c r="Y363" s="553"/>
      <c r="Z363" s="553"/>
      <c r="AA363" s="553"/>
      <c r="AB363" s="554"/>
      <c r="AC363" s="555"/>
      <c r="AD363" s="556"/>
      <c r="AE363" s="556"/>
      <c r="AF363" s="556"/>
      <c r="AG363" s="556"/>
    </row>
    <row r="364" spans="1:33">
      <c r="A364" s="585">
        <v>350</v>
      </c>
      <c r="B364" s="587" t="s">
        <v>2754</v>
      </c>
      <c r="C364" s="585">
        <v>350</v>
      </c>
      <c r="D364" s="629" t="s">
        <v>2228</v>
      </c>
      <c r="E364" s="586" t="s">
        <v>257</v>
      </c>
      <c r="F364" s="675">
        <v>4.2458000000000003E-2</v>
      </c>
      <c r="G364" s="676">
        <v>2538.48</v>
      </c>
      <c r="H364" s="588">
        <v>487.2</v>
      </c>
      <c r="I364" s="587" t="s">
        <v>549</v>
      </c>
      <c r="J364" s="585">
        <v>1</v>
      </c>
      <c r="K364" s="585" t="s">
        <v>751</v>
      </c>
      <c r="L364" s="678">
        <v>348</v>
      </c>
      <c r="M364" s="649" t="s">
        <v>2533</v>
      </c>
      <c r="N364" s="679">
        <v>67.071199999999919</v>
      </c>
      <c r="O364" s="679">
        <v>134.15400000000011</v>
      </c>
      <c r="P364" s="589" t="s">
        <v>2534</v>
      </c>
      <c r="Q364" s="680">
        <v>336.67839999999967</v>
      </c>
      <c r="R364" s="696"/>
      <c r="S364" s="553"/>
      <c r="T364" s="553"/>
      <c r="U364" s="553"/>
      <c r="V364" s="553"/>
      <c r="W364" s="553"/>
      <c r="X364" s="553"/>
      <c r="Y364" s="553"/>
      <c r="Z364" s="553"/>
      <c r="AA364" s="553"/>
      <c r="AB364" s="554"/>
      <c r="AC364" s="555"/>
      <c r="AD364" s="556"/>
      <c r="AE364" s="556"/>
      <c r="AF364" s="556"/>
      <c r="AG364" s="556"/>
    </row>
    <row r="365" spans="1:33">
      <c r="A365" s="585">
        <v>351</v>
      </c>
      <c r="B365" s="587" t="s">
        <v>4550</v>
      </c>
      <c r="C365" s="585">
        <v>351</v>
      </c>
      <c r="D365" s="629" t="s">
        <v>2294</v>
      </c>
      <c r="E365" s="586" t="s">
        <v>4561</v>
      </c>
      <c r="F365" s="675">
        <v>2.8934000000000001E-2</v>
      </c>
      <c r="G365" s="676">
        <v>8154.31</v>
      </c>
      <c r="H365" s="588">
        <v>487.2</v>
      </c>
      <c r="I365" s="587" t="s">
        <v>3793</v>
      </c>
      <c r="J365" s="585">
        <v>3</v>
      </c>
      <c r="K365" s="585" t="s">
        <v>4570</v>
      </c>
      <c r="L365" s="678">
        <v>0</v>
      </c>
      <c r="M365" s="649" t="s">
        <v>2533</v>
      </c>
      <c r="N365" s="679">
        <v>284.72500000000036</v>
      </c>
      <c r="O365" s="679">
        <v>569.44999999999982</v>
      </c>
      <c r="P365" s="589" t="s">
        <v>2534</v>
      </c>
      <c r="Q365" s="680">
        <v>0</v>
      </c>
      <c r="R365" s="696"/>
      <c r="S365" s="553"/>
      <c r="T365" s="553"/>
      <c r="U365" s="553"/>
      <c r="V365" s="553"/>
      <c r="W365" s="553"/>
      <c r="X365" s="553"/>
      <c r="Y365" s="553"/>
      <c r="Z365" s="553"/>
      <c r="AA365" s="553"/>
      <c r="AB365" s="554"/>
      <c r="AC365" s="555"/>
      <c r="AD365" s="556"/>
      <c r="AE365" s="556"/>
      <c r="AF365" s="556"/>
      <c r="AG365" s="556"/>
    </row>
    <row r="366" spans="1:33">
      <c r="A366" s="585">
        <v>352</v>
      </c>
      <c r="B366" s="587" t="s">
        <v>5136</v>
      </c>
      <c r="C366" s="585">
        <v>352</v>
      </c>
      <c r="D366" s="629" t="s">
        <v>2294</v>
      </c>
      <c r="E366" s="586" t="s">
        <v>5148</v>
      </c>
      <c r="F366" s="675">
        <v>2.8934000000000001E-2</v>
      </c>
      <c r="G366" s="676">
        <v>8154.31</v>
      </c>
      <c r="H366" s="588">
        <v>487.2</v>
      </c>
      <c r="I366" s="587" t="s">
        <v>3793</v>
      </c>
      <c r="J366" s="585">
        <v>3</v>
      </c>
      <c r="K366" s="585" t="s">
        <v>5160</v>
      </c>
      <c r="L366" s="678">
        <v>0</v>
      </c>
      <c r="M366" s="649" t="s">
        <v>2533</v>
      </c>
      <c r="N366" s="679">
        <v>284.72500000000036</v>
      </c>
      <c r="O366" s="679">
        <v>569.44999999999982</v>
      </c>
      <c r="P366" s="589" t="s">
        <v>2534</v>
      </c>
      <c r="Q366" s="680">
        <v>0</v>
      </c>
      <c r="R366" s="696"/>
      <c r="S366" s="553"/>
      <c r="T366" s="553"/>
      <c r="U366" s="553"/>
      <c r="V366" s="553"/>
      <c r="W366" s="553"/>
      <c r="X366" s="553"/>
      <c r="Y366" s="553"/>
      <c r="Z366" s="553"/>
      <c r="AA366" s="553"/>
      <c r="AB366" s="554"/>
      <c r="AC366" s="555"/>
      <c r="AD366" s="556"/>
      <c r="AE366" s="556"/>
      <c r="AF366" s="556"/>
      <c r="AG366" s="556"/>
    </row>
    <row r="367" spans="1:33">
      <c r="A367" s="585">
        <v>353</v>
      </c>
      <c r="B367" s="587" t="s">
        <v>2755</v>
      </c>
      <c r="C367" s="585">
        <v>353</v>
      </c>
      <c r="D367" s="629" t="s">
        <v>2294</v>
      </c>
      <c r="E367" s="586" t="s">
        <v>258</v>
      </c>
      <c r="F367" s="675">
        <v>4.8639700000000001E-2</v>
      </c>
      <c r="G367" s="676">
        <v>3463.0023344000001</v>
      </c>
      <c r="H367" s="588">
        <v>487.2</v>
      </c>
      <c r="I367" s="587" t="s">
        <v>601</v>
      </c>
      <c r="J367" s="585">
        <v>2</v>
      </c>
      <c r="K367" s="585" t="s">
        <v>752</v>
      </c>
      <c r="L367" s="678">
        <v>348</v>
      </c>
      <c r="M367" s="649" t="s">
        <v>2533</v>
      </c>
      <c r="N367" s="679">
        <v>121.62599999999989</v>
      </c>
      <c r="O367" s="679">
        <v>243.24040000000008</v>
      </c>
      <c r="P367" s="589" t="s">
        <v>2534</v>
      </c>
      <c r="Q367" s="680">
        <v>336.67839999999967</v>
      </c>
      <c r="R367" s="696"/>
      <c r="S367" s="553"/>
      <c r="T367" s="553"/>
      <c r="U367" s="553"/>
      <c r="V367" s="553"/>
      <c r="W367" s="553"/>
      <c r="X367" s="553"/>
      <c r="Y367" s="553"/>
      <c r="Z367" s="553"/>
      <c r="AA367" s="553"/>
      <c r="AB367" s="554"/>
      <c r="AC367" s="555"/>
      <c r="AD367" s="556"/>
      <c r="AE367" s="556"/>
      <c r="AF367" s="556"/>
      <c r="AG367" s="556"/>
    </row>
    <row r="368" spans="1:33">
      <c r="A368" s="585">
        <v>354</v>
      </c>
      <c r="B368" s="587" t="s">
        <v>2756</v>
      </c>
      <c r="C368" s="585">
        <v>354</v>
      </c>
      <c r="D368" s="629" t="s">
        <v>2294</v>
      </c>
      <c r="E368" s="586" t="s">
        <v>2477</v>
      </c>
      <c r="F368" s="675">
        <v>4.8639700000000001E-2</v>
      </c>
      <c r="G368" s="676">
        <v>3463.0023344000001</v>
      </c>
      <c r="H368" s="588">
        <v>487.2</v>
      </c>
      <c r="I368" s="587" t="s">
        <v>601</v>
      </c>
      <c r="J368" s="585">
        <v>2</v>
      </c>
      <c r="K368" s="585" t="s">
        <v>2478</v>
      </c>
      <c r="L368" s="678">
        <v>348</v>
      </c>
      <c r="M368" s="649" t="s">
        <v>2533</v>
      </c>
      <c r="N368" s="679">
        <v>121.62599999999989</v>
      </c>
      <c r="O368" s="679">
        <v>243.24040000000008</v>
      </c>
      <c r="P368" s="589" t="s">
        <v>2534</v>
      </c>
      <c r="Q368" s="680">
        <v>336.67839999999967</v>
      </c>
      <c r="R368" s="696"/>
      <c r="S368" s="553"/>
      <c r="T368" s="553"/>
      <c r="U368" s="553"/>
      <c r="V368" s="553"/>
      <c r="W368" s="553"/>
      <c r="X368" s="553"/>
      <c r="Y368" s="553"/>
      <c r="Z368" s="553"/>
      <c r="AA368" s="553"/>
      <c r="AB368" s="554"/>
      <c r="AC368" s="555"/>
      <c r="AD368" s="556"/>
      <c r="AE368" s="556"/>
      <c r="AF368" s="556"/>
      <c r="AG368" s="556"/>
    </row>
    <row r="369" spans="1:33">
      <c r="A369" s="585">
        <v>355</v>
      </c>
      <c r="B369" s="587" t="s">
        <v>2757</v>
      </c>
      <c r="C369" s="585">
        <v>355</v>
      </c>
      <c r="D369" s="629" t="s">
        <v>2294</v>
      </c>
      <c r="E369" s="586" t="s">
        <v>259</v>
      </c>
      <c r="F369" s="675">
        <v>4.8639700000000001E-2</v>
      </c>
      <c r="G369" s="676">
        <v>3463.0023344000001</v>
      </c>
      <c r="H369" s="588">
        <v>487.2</v>
      </c>
      <c r="I369" s="587" t="s">
        <v>601</v>
      </c>
      <c r="J369" s="585">
        <v>2</v>
      </c>
      <c r="K369" s="585" t="s">
        <v>753</v>
      </c>
      <c r="L369" s="678">
        <v>348</v>
      </c>
      <c r="M369" s="649" t="s">
        <v>2533</v>
      </c>
      <c r="N369" s="679">
        <v>121.62599999999989</v>
      </c>
      <c r="O369" s="679">
        <v>243.24040000000008</v>
      </c>
      <c r="P369" s="589" t="s">
        <v>2534</v>
      </c>
      <c r="Q369" s="680">
        <v>336.67839999999967</v>
      </c>
      <c r="R369" s="696"/>
      <c r="S369" s="553"/>
      <c r="T369" s="553"/>
      <c r="U369" s="553"/>
      <c r="V369" s="553"/>
      <c r="W369" s="553"/>
      <c r="X369" s="553"/>
      <c r="Y369" s="553"/>
      <c r="Z369" s="553"/>
      <c r="AA369" s="553"/>
      <c r="AB369" s="554"/>
      <c r="AC369" s="555"/>
      <c r="AD369" s="556"/>
      <c r="AE369" s="556"/>
      <c r="AF369" s="556"/>
      <c r="AG369" s="556"/>
    </row>
    <row r="370" spans="1:33">
      <c r="A370" s="585">
        <v>356</v>
      </c>
      <c r="B370" s="587" t="s">
        <v>2758</v>
      </c>
      <c r="C370" s="585">
        <v>356</v>
      </c>
      <c r="D370" s="629" t="s">
        <v>2294</v>
      </c>
      <c r="E370" s="586" t="s">
        <v>260</v>
      </c>
      <c r="F370" s="675">
        <v>4.8639700000000001E-2</v>
      </c>
      <c r="G370" s="676">
        <v>3463.0023344000001</v>
      </c>
      <c r="H370" s="588">
        <v>487.2</v>
      </c>
      <c r="I370" s="587" t="s">
        <v>601</v>
      </c>
      <c r="J370" s="585">
        <v>2</v>
      </c>
      <c r="K370" s="585" t="s">
        <v>754</v>
      </c>
      <c r="L370" s="678">
        <v>348</v>
      </c>
      <c r="M370" s="649" t="s">
        <v>2533</v>
      </c>
      <c r="N370" s="679">
        <v>121.62599999999989</v>
      </c>
      <c r="O370" s="679">
        <v>243.24040000000008</v>
      </c>
      <c r="P370" s="589" t="s">
        <v>2534</v>
      </c>
      <c r="Q370" s="680">
        <v>336.67839999999967</v>
      </c>
      <c r="R370" s="696"/>
      <c r="S370" s="553"/>
      <c r="T370" s="553"/>
      <c r="U370" s="553"/>
      <c r="V370" s="553"/>
      <c r="W370" s="553"/>
      <c r="X370" s="553"/>
      <c r="Y370" s="553"/>
      <c r="Z370" s="553"/>
      <c r="AA370" s="553"/>
      <c r="AB370" s="554"/>
      <c r="AC370" s="555"/>
      <c r="AD370" s="556"/>
      <c r="AE370" s="556"/>
      <c r="AF370" s="556"/>
      <c r="AG370" s="556"/>
    </row>
    <row r="371" spans="1:33">
      <c r="A371" s="585">
        <v>357</v>
      </c>
      <c r="B371" s="587" t="s">
        <v>2759</v>
      </c>
      <c r="C371" s="585">
        <v>357</v>
      </c>
      <c r="D371" s="629" t="s">
        <v>2294</v>
      </c>
      <c r="E371" s="586" t="s">
        <v>261</v>
      </c>
      <c r="F371" s="675">
        <v>4.8639700000000001E-2</v>
      </c>
      <c r="G371" s="676">
        <v>3463.0023344000001</v>
      </c>
      <c r="H371" s="588">
        <v>487.2</v>
      </c>
      <c r="I371" s="587" t="s">
        <v>601</v>
      </c>
      <c r="J371" s="585">
        <v>2</v>
      </c>
      <c r="K371" s="585" t="s">
        <v>755</v>
      </c>
      <c r="L371" s="678">
        <v>348</v>
      </c>
      <c r="M371" s="649" t="s">
        <v>2533</v>
      </c>
      <c r="N371" s="679">
        <v>121.62599999999989</v>
      </c>
      <c r="O371" s="679">
        <v>243.24040000000008</v>
      </c>
      <c r="P371" s="589" t="s">
        <v>2534</v>
      </c>
      <c r="Q371" s="680">
        <v>336.67839999999967</v>
      </c>
      <c r="R371" s="696"/>
      <c r="S371" s="553"/>
      <c r="T371" s="553"/>
      <c r="U371" s="553"/>
      <c r="V371" s="553"/>
      <c r="W371" s="553"/>
      <c r="X371" s="553"/>
      <c r="Y371" s="553"/>
      <c r="Z371" s="553"/>
      <c r="AA371" s="553"/>
      <c r="AB371" s="554"/>
      <c r="AC371" s="555"/>
      <c r="AD371" s="556"/>
      <c r="AE371" s="556"/>
      <c r="AF371" s="556"/>
      <c r="AG371" s="556"/>
    </row>
    <row r="372" spans="1:33">
      <c r="A372" s="585">
        <v>358</v>
      </c>
      <c r="B372" s="587" t="s">
        <v>10380</v>
      </c>
      <c r="C372" s="585">
        <v>358</v>
      </c>
      <c r="D372" s="629" t="s">
        <v>2294</v>
      </c>
      <c r="E372" s="586" t="s">
        <v>10381</v>
      </c>
      <c r="F372" s="675">
        <v>4.8639700000000001E-2</v>
      </c>
      <c r="G372" s="676">
        <v>3463.0023344000001</v>
      </c>
      <c r="H372" s="588">
        <v>487.2</v>
      </c>
      <c r="I372" s="587" t="s">
        <v>601</v>
      </c>
      <c r="J372" s="585">
        <v>2</v>
      </c>
      <c r="K372" s="585" t="s">
        <v>3682</v>
      </c>
      <c r="L372" s="678">
        <v>348</v>
      </c>
      <c r="M372" s="649" t="s">
        <v>2533</v>
      </c>
      <c r="N372" s="679">
        <v>121.62599999999989</v>
      </c>
      <c r="O372" s="679">
        <v>243.24040000000008</v>
      </c>
      <c r="P372" s="589" t="s">
        <v>2534</v>
      </c>
      <c r="Q372" s="680">
        <v>336.67839999999967</v>
      </c>
      <c r="R372" s="696"/>
      <c r="S372" s="553"/>
      <c r="T372" s="553"/>
      <c r="U372" s="553"/>
      <c r="V372" s="553"/>
      <c r="W372" s="553"/>
      <c r="X372" s="553"/>
      <c r="Y372" s="553"/>
      <c r="Z372" s="553"/>
      <c r="AA372" s="553"/>
      <c r="AB372" s="554"/>
      <c r="AC372" s="555"/>
      <c r="AD372" s="556"/>
      <c r="AE372" s="556"/>
      <c r="AF372" s="556"/>
      <c r="AG372" s="556"/>
    </row>
    <row r="373" spans="1:33">
      <c r="A373" s="585">
        <v>359</v>
      </c>
      <c r="B373" s="587" t="s">
        <v>3595</v>
      </c>
      <c r="C373" s="585">
        <v>359</v>
      </c>
      <c r="D373" s="629" t="s">
        <v>2294</v>
      </c>
      <c r="E373" s="586" t="s">
        <v>3768</v>
      </c>
      <c r="F373" s="675">
        <v>3.1363000000000002E-2</v>
      </c>
      <c r="G373" s="676">
        <v>7453.37</v>
      </c>
      <c r="H373" s="588">
        <v>487.2</v>
      </c>
      <c r="I373" s="587" t="s">
        <v>3793</v>
      </c>
      <c r="J373" s="585">
        <v>3</v>
      </c>
      <c r="K373" s="585" t="s">
        <v>3683</v>
      </c>
      <c r="L373" s="678">
        <v>0</v>
      </c>
      <c r="M373" s="649" t="s">
        <v>2533</v>
      </c>
      <c r="N373" s="679">
        <v>298.14</v>
      </c>
      <c r="O373" s="679">
        <v>596.29</v>
      </c>
      <c r="P373" s="589" t="s">
        <v>2534</v>
      </c>
      <c r="Q373" s="680">
        <v>0</v>
      </c>
      <c r="R373" s="696"/>
      <c r="S373" s="553"/>
      <c r="T373" s="553"/>
      <c r="U373" s="553"/>
      <c r="V373" s="553"/>
      <c r="W373" s="553"/>
      <c r="X373" s="553"/>
      <c r="Y373" s="553"/>
      <c r="Z373" s="553"/>
      <c r="AA373" s="553"/>
      <c r="AB373" s="554"/>
      <c r="AC373" s="555"/>
      <c r="AD373" s="556"/>
      <c r="AE373" s="556"/>
      <c r="AF373" s="556"/>
      <c r="AG373" s="556"/>
    </row>
    <row r="374" spans="1:33">
      <c r="A374" s="585">
        <v>360</v>
      </c>
      <c r="B374" s="587" t="s">
        <v>3596</v>
      </c>
      <c r="C374" s="585">
        <v>360</v>
      </c>
      <c r="D374" s="629" t="s">
        <v>2294</v>
      </c>
      <c r="E374" s="586" t="s">
        <v>3769</v>
      </c>
      <c r="F374" s="675">
        <v>2.8934000000000001E-2</v>
      </c>
      <c r="G374" s="676">
        <v>8154.31</v>
      </c>
      <c r="H374" s="588">
        <v>487.2</v>
      </c>
      <c r="I374" s="587" t="s">
        <v>3793</v>
      </c>
      <c r="J374" s="585">
        <v>3</v>
      </c>
      <c r="K374" s="585" t="s">
        <v>3684</v>
      </c>
      <c r="L374" s="678">
        <v>0</v>
      </c>
      <c r="M374" s="649" t="s">
        <v>2533</v>
      </c>
      <c r="N374" s="679">
        <v>330.29</v>
      </c>
      <c r="O374" s="679">
        <v>660.56</v>
      </c>
      <c r="P374" s="589" t="s">
        <v>2534</v>
      </c>
      <c r="Q374" s="680">
        <v>0</v>
      </c>
      <c r="R374" s="696"/>
      <c r="S374" s="553"/>
      <c r="T374" s="553"/>
      <c r="U374" s="553"/>
      <c r="V374" s="553"/>
      <c r="W374" s="553"/>
      <c r="X374" s="553"/>
      <c r="Y374" s="553"/>
      <c r="Z374" s="553"/>
      <c r="AA374" s="553"/>
      <c r="AB374" s="554"/>
      <c r="AC374" s="555"/>
      <c r="AD374" s="556"/>
      <c r="AE374" s="556"/>
      <c r="AF374" s="556"/>
      <c r="AG374" s="556"/>
    </row>
    <row r="375" spans="1:33">
      <c r="A375" s="585">
        <v>361</v>
      </c>
      <c r="B375" s="587" t="s">
        <v>2760</v>
      </c>
      <c r="C375" s="585">
        <v>361</v>
      </c>
      <c r="D375" s="629" t="s">
        <v>2295</v>
      </c>
      <c r="E375" s="586" t="s">
        <v>262</v>
      </c>
      <c r="F375" s="675">
        <v>2.8129400000000002E-2</v>
      </c>
      <c r="G375" s="676">
        <v>2538.48</v>
      </c>
      <c r="H375" s="588">
        <v>487.2</v>
      </c>
      <c r="I375" s="587" t="s">
        <v>549</v>
      </c>
      <c r="J375" s="585">
        <v>1</v>
      </c>
      <c r="K375" s="585" t="s">
        <v>756</v>
      </c>
      <c r="L375" s="678">
        <v>348</v>
      </c>
      <c r="M375" s="649" t="s">
        <v>2533</v>
      </c>
      <c r="N375" s="679">
        <v>67.071199999999919</v>
      </c>
      <c r="O375" s="679">
        <v>134.15400000000011</v>
      </c>
      <c r="P375" s="589" t="s">
        <v>2534</v>
      </c>
      <c r="Q375" s="680">
        <v>336.67839999999967</v>
      </c>
      <c r="R375" s="696"/>
      <c r="S375" s="553"/>
      <c r="T375" s="553"/>
      <c r="U375" s="553"/>
      <c r="V375" s="553"/>
      <c r="W375" s="553"/>
      <c r="X375" s="553"/>
      <c r="Y375" s="553"/>
      <c r="Z375" s="553"/>
      <c r="AA375" s="553"/>
      <c r="AB375" s="554"/>
      <c r="AC375" s="555"/>
      <c r="AD375" s="556"/>
      <c r="AE375" s="556"/>
      <c r="AF375" s="556"/>
      <c r="AG375" s="556"/>
    </row>
    <row r="376" spans="1:33">
      <c r="A376" s="585">
        <v>362</v>
      </c>
      <c r="B376" s="587" t="s">
        <v>2761</v>
      </c>
      <c r="C376" s="585">
        <v>362</v>
      </c>
      <c r="D376" s="629" t="s">
        <v>2295</v>
      </c>
      <c r="E376" s="586" t="s">
        <v>263</v>
      </c>
      <c r="F376" s="675">
        <v>2.8129400000000002E-2</v>
      </c>
      <c r="G376" s="676">
        <v>2538.48</v>
      </c>
      <c r="H376" s="588">
        <v>487.2</v>
      </c>
      <c r="I376" s="587" t="s">
        <v>549</v>
      </c>
      <c r="J376" s="585">
        <v>1</v>
      </c>
      <c r="K376" s="585" t="s">
        <v>757</v>
      </c>
      <c r="L376" s="678">
        <v>348</v>
      </c>
      <c r="M376" s="649" t="s">
        <v>2533</v>
      </c>
      <c r="N376" s="679">
        <v>67.071199999999919</v>
      </c>
      <c r="O376" s="679">
        <v>134.15400000000011</v>
      </c>
      <c r="P376" s="589" t="s">
        <v>2534</v>
      </c>
      <c r="Q376" s="680">
        <v>336.67839999999967</v>
      </c>
      <c r="R376" s="696"/>
      <c r="S376" s="553"/>
      <c r="T376" s="553"/>
      <c r="U376" s="553"/>
      <c r="V376" s="553"/>
      <c r="W376" s="553"/>
      <c r="X376" s="553"/>
      <c r="Y376" s="553"/>
      <c r="Z376" s="553"/>
      <c r="AA376" s="553"/>
      <c r="AB376" s="554"/>
      <c r="AC376" s="555"/>
      <c r="AD376" s="556"/>
      <c r="AE376" s="556"/>
      <c r="AF376" s="556"/>
      <c r="AG376" s="556"/>
    </row>
    <row r="377" spans="1:33">
      <c r="A377" s="585">
        <v>363</v>
      </c>
      <c r="B377" s="587" t="s">
        <v>2762</v>
      </c>
      <c r="C377" s="585">
        <v>363</v>
      </c>
      <c r="D377" s="629" t="s">
        <v>2295</v>
      </c>
      <c r="E377" s="586" t="s">
        <v>264</v>
      </c>
      <c r="F377" s="675">
        <v>4.12118E-2</v>
      </c>
      <c r="G377" s="676">
        <v>2538.48</v>
      </c>
      <c r="H377" s="588">
        <v>487.2</v>
      </c>
      <c r="I377" s="587" t="s">
        <v>549</v>
      </c>
      <c r="J377" s="585">
        <v>1</v>
      </c>
      <c r="K377" s="585" t="s">
        <v>758</v>
      </c>
      <c r="L377" s="678">
        <v>348</v>
      </c>
      <c r="M377" s="649" t="s">
        <v>2533</v>
      </c>
      <c r="N377" s="679">
        <v>67.071199999999919</v>
      </c>
      <c r="O377" s="679">
        <v>134.15400000000011</v>
      </c>
      <c r="P377" s="589" t="s">
        <v>2534</v>
      </c>
      <c r="Q377" s="680">
        <v>336.67839999999967</v>
      </c>
      <c r="R377" s="696"/>
      <c r="S377" s="553"/>
      <c r="T377" s="553"/>
      <c r="U377" s="553"/>
      <c r="V377" s="553"/>
      <c r="W377" s="553"/>
      <c r="X377" s="553"/>
      <c r="Y377" s="553"/>
      <c r="Z377" s="553"/>
      <c r="AA377" s="553"/>
      <c r="AB377" s="554"/>
      <c r="AC377" s="555"/>
      <c r="AD377" s="556"/>
      <c r="AE377" s="556"/>
      <c r="AF377" s="556"/>
      <c r="AG377" s="556"/>
    </row>
    <row r="378" spans="1:33">
      <c r="A378" s="585">
        <v>364</v>
      </c>
      <c r="B378" s="587" t="s">
        <v>2763</v>
      </c>
      <c r="C378" s="585">
        <v>364</v>
      </c>
      <c r="D378" s="629" t="s">
        <v>2295</v>
      </c>
      <c r="E378" s="586" t="s">
        <v>265</v>
      </c>
      <c r="F378" s="675">
        <v>2.6187100000000001E-2</v>
      </c>
      <c r="G378" s="676">
        <v>2538.48</v>
      </c>
      <c r="H378" s="588">
        <v>487.2</v>
      </c>
      <c r="I378" s="587" t="s">
        <v>549</v>
      </c>
      <c r="J378" s="585">
        <v>1</v>
      </c>
      <c r="K378" s="585" t="s">
        <v>759</v>
      </c>
      <c r="L378" s="678">
        <v>348</v>
      </c>
      <c r="M378" s="649" t="s">
        <v>2533</v>
      </c>
      <c r="N378" s="679">
        <v>67.071199999999919</v>
      </c>
      <c r="O378" s="679">
        <v>134.15400000000011</v>
      </c>
      <c r="P378" s="589" t="s">
        <v>2534</v>
      </c>
      <c r="Q378" s="680">
        <v>336.67839999999967</v>
      </c>
      <c r="R378" s="696"/>
      <c r="S378" s="553"/>
      <c r="T378" s="553"/>
      <c r="U378" s="553"/>
      <c r="V378" s="553"/>
      <c r="W378" s="553"/>
      <c r="X378" s="553"/>
      <c r="Y378" s="553"/>
      <c r="Z378" s="553"/>
      <c r="AA378" s="553"/>
      <c r="AB378" s="554"/>
      <c r="AC378" s="555"/>
      <c r="AD378" s="556"/>
      <c r="AE378" s="556"/>
      <c r="AF378" s="556"/>
      <c r="AG378" s="556"/>
    </row>
    <row r="379" spans="1:33">
      <c r="A379" s="585">
        <v>365</v>
      </c>
      <c r="B379" s="587" t="s">
        <v>2764</v>
      </c>
      <c r="C379" s="585">
        <v>365</v>
      </c>
      <c r="D379" s="629" t="s">
        <v>2295</v>
      </c>
      <c r="E379" s="586" t="s">
        <v>266</v>
      </c>
      <c r="F379" s="675">
        <v>2.6601200000000002E-2</v>
      </c>
      <c r="G379" s="676">
        <v>2538.48</v>
      </c>
      <c r="H379" s="588">
        <v>487.2</v>
      </c>
      <c r="I379" s="587" t="s">
        <v>549</v>
      </c>
      <c r="J379" s="585">
        <v>1</v>
      </c>
      <c r="K379" s="585" t="s">
        <v>760</v>
      </c>
      <c r="L379" s="678">
        <v>348</v>
      </c>
      <c r="M379" s="649" t="s">
        <v>2533</v>
      </c>
      <c r="N379" s="679">
        <v>67.071199999999919</v>
      </c>
      <c r="O379" s="679">
        <v>134.15400000000011</v>
      </c>
      <c r="P379" s="589" t="s">
        <v>2534</v>
      </c>
      <c r="Q379" s="680">
        <v>336.67839999999967</v>
      </c>
      <c r="R379" s="696"/>
      <c r="S379" s="553"/>
      <c r="T379" s="553"/>
      <c r="U379" s="553"/>
      <c r="V379" s="553"/>
      <c r="W379" s="553"/>
      <c r="X379" s="553"/>
      <c r="Y379" s="553"/>
      <c r="Z379" s="553"/>
      <c r="AA379" s="553"/>
      <c r="AB379" s="554"/>
      <c r="AC379" s="555"/>
      <c r="AD379" s="556"/>
      <c r="AE379" s="556"/>
      <c r="AF379" s="556"/>
      <c r="AG379" s="556"/>
    </row>
    <row r="380" spans="1:33">
      <c r="A380" s="585">
        <v>366</v>
      </c>
      <c r="B380" s="587" t="s">
        <v>3317</v>
      </c>
      <c r="C380" s="585">
        <v>366</v>
      </c>
      <c r="D380" s="629" t="s">
        <v>2295</v>
      </c>
      <c r="E380" s="586" t="s">
        <v>3330</v>
      </c>
      <c r="F380" s="675">
        <v>3.9996999999999998E-2</v>
      </c>
      <c r="G380" s="676">
        <v>2538.48</v>
      </c>
      <c r="H380" s="588">
        <v>487.2</v>
      </c>
      <c r="I380" s="587" t="s">
        <v>549</v>
      </c>
      <c r="J380" s="585">
        <v>1</v>
      </c>
      <c r="K380" s="585" t="s">
        <v>3324</v>
      </c>
      <c r="L380" s="678">
        <v>348</v>
      </c>
      <c r="M380" s="649" t="s">
        <v>2533</v>
      </c>
      <c r="N380" s="679">
        <v>67.071199999999919</v>
      </c>
      <c r="O380" s="679">
        <v>134.15400000000011</v>
      </c>
      <c r="P380" s="589" t="s">
        <v>2534</v>
      </c>
      <c r="Q380" s="680">
        <v>336.67839999999967</v>
      </c>
      <c r="R380" s="696"/>
      <c r="S380" s="553"/>
      <c r="T380" s="553"/>
      <c r="U380" s="553"/>
      <c r="V380" s="553"/>
      <c r="W380" s="553"/>
      <c r="X380" s="553"/>
      <c r="Y380" s="553"/>
      <c r="Z380" s="553"/>
      <c r="AA380" s="553"/>
      <c r="AB380" s="554"/>
      <c r="AC380" s="555"/>
      <c r="AD380" s="556"/>
      <c r="AE380" s="556"/>
      <c r="AF380" s="556"/>
      <c r="AG380" s="556"/>
    </row>
    <row r="381" spans="1:33">
      <c r="A381" s="585">
        <v>367</v>
      </c>
      <c r="B381" s="587" t="s">
        <v>2765</v>
      </c>
      <c r="C381" s="585">
        <v>367</v>
      </c>
      <c r="D381" s="629" t="s">
        <v>2295</v>
      </c>
      <c r="E381" s="586" t="s">
        <v>267</v>
      </c>
      <c r="F381" s="675">
        <v>2.91579E-2</v>
      </c>
      <c r="G381" s="676">
        <v>2538.48</v>
      </c>
      <c r="H381" s="588">
        <v>487.2</v>
      </c>
      <c r="I381" s="587" t="s">
        <v>549</v>
      </c>
      <c r="J381" s="585">
        <v>1</v>
      </c>
      <c r="K381" s="585" t="s">
        <v>761</v>
      </c>
      <c r="L381" s="678">
        <v>348</v>
      </c>
      <c r="M381" s="649" t="s">
        <v>2533</v>
      </c>
      <c r="N381" s="679">
        <v>67.071199999999919</v>
      </c>
      <c r="O381" s="679">
        <v>134.15400000000011</v>
      </c>
      <c r="P381" s="589" t="s">
        <v>2534</v>
      </c>
      <c r="Q381" s="680">
        <v>336.67839999999967</v>
      </c>
      <c r="R381" s="696"/>
      <c r="S381" s="553"/>
      <c r="T381" s="553"/>
      <c r="U381" s="553"/>
      <c r="V381" s="553"/>
      <c r="W381" s="553"/>
      <c r="X381" s="553"/>
      <c r="Y381" s="553"/>
      <c r="Z381" s="553"/>
      <c r="AA381" s="553"/>
      <c r="AB381" s="554"/>
      <c r="AC381" s="555"/>
      <c r="AD381" s="556"/>
      <c r="AE381" s="556"/>
      <c r="AF381" s="556"/>
      <c r="AG381" s="556"/>
    </row>
    <row r="382" spans="1:33">
      <c r="A382" s="585">
        <v>368</v>
      </c>
      <c r="B382" s="587" t="s">
        <v>10414</v>
      </c>
      <c r="C382" s="585">
        <v>368</v>
      </c>
      <c r="D382" s="629" t="s">
        <v>2295</v>
      </c>
      <c r="E382" s="586" t="s">
        <v>10448</v>
      </c>
      <c r="F382" s="675">
        <v>3.0901000000000001E-2</v>
      </c>
      <c r="G382" s="676">
        <v>2538.48</v>
      </c>
      <c r="H382" s="588">
        <v>487.2</v>
      </c>
      <c r="I382" s="587" t="s">
        <v>549</v>
      </c>
      <c r="J382" s="585">
        <v>1</v>
      </c>
      <c r="K382" s="585" t="s">
        <v>10479</v>
      </c>
      <c r="L382" s="678">
        <v>348</v>
      </c>
      <c r="M382" s="649" t="s">
        <v>2533</v>
      </c>
      <c r="N382" s="679">
        <v>67.071199999999919</v>
      </c>
      <c r="O382" s="679">
        <v>134.15399999999985</v>
      </c>
      <c r="P382" s="589" t="s">
        <v>2534</v>
      </c>
      <c r="Q382" s="680">
        <v>336.67840000000001</v>
      </c>
      <c r="R382" s="696"/>
      <c r="S382" s="553"/>
      <c r="T382" s="553"/>
      <c r="U382" s="553"/>
      <c r="V382" s="553"/>
      <c r="W382" s="553"/>
      <c r="X382" s="553"/>
      <c r="Y382" s="553"/>
      <c r="Z382" s="553"/>
      <c r="AA382" s="553"/>
      <c r="AB382" s="554"/>
      <c r="AC382" s="555"/>
      <c r="AD382" s="556"/>
      <c r="AE382" s="556"/>
      <c r="AF382" s="556"/>
      <c r="AG382" s="556"/>
    </row>
    <row r="383" spans="1:33">
      <c r="A383" s="585">
        <v>369</v>
      </c>
      <c r="B383" s="587" t="s">
        <v>2766</v>
      </c>
      <c r="C383" s="585">
        <v>369</v>
      </c>
      <c r="D383" s="629" t="s">
        <v>2295</v>
      </c>
      <c r="E383" s="586" t="s">
        <v>268</v>
      </c>
      <c r="F383" s="675">
        <v>3.1015500000000001E-2</v>
      </c>
      <c r="G383" s="676">
        <v>2538.48</v>
      </c>
      <c r="H383" s="588">
        <v>487.2</v>
      </c>
      <c r="I383" s="587" t="s">
        <v>549</v>
      </c>
      <c r="J383" s="585">
        <v>1</v>
      </c>
      <c r="K383" s="585" t="s">
        <v>762</v>
      </c>
      <c r="L383" s="678">
        <v>348</v>
      </c>
      <c r="M383" s="649" t="s">
        <v>2533</v>
      </c>
      <c r="N383" s="679">
        <v>67.071199999999919</v>
      </c>
      <c r="O383" s="679">
        <v>134.15400000000011</v>
      </c>
      <c r="P383" s="589" t="s">
        <v>2534</v>
      </c>
      <c r="Q383" s="680">
        <v>336.67839999999967</v>
      </c>
      <c r="R383" s="696"/>
      <c r="S383" s="553"/>
      <c r="T383" s="553"/>
      <c r="U383" s="553"/>
      <c r="V383" s="553"/>
      <c r="W383" s="553"/>
      <c r="X383" s="553"/>
      <c r="Y383" s="553"/>
      <c r="Z383" s="553"/>
      <c r="AA383" s="553"/>
      <c r="AB383" s="554"/>
      <c r="AC383" s="555"/>
      <c r="AD383" s="556"/>
      <c r="AE383" s="556"/>
      <c r="AF383" s="556"/>
      <c r="AG383" s="556"/>
    </row>
    <row r="384" spans="1:33">
      <c r="A384" s="585">
        <v>370</v>
      </c>
      <c r="B384" s="587" t="s">
        <v>2767</v>
      </c>
      <c r="C384" s="585">
        <v>370</v>
      </c>
      <c r="D384" s="629" t="s">
        <v>2295</v>
      </c>
      <c r="E384" s="586" t="s">
        <v>269</v>
      </c>
      <c r="F384" s="675">
        <v>3.4001000000000003E-2</v>
      </c>
      <c r="G384" s="676">
        <v>2538.48</v>
      </c>
      <c r="H384" s="588">
        <v>487.2</v>
      </c>
      <c r="I384" s="587" t="s">
        <v>549</v>
      </c>
      <c r="J384" s="585">
        <v>1</v>
      </c>
      <c r="K384" s="585" t="s">
        <v>763</v>
      </c>
      <c r="L384" s="678">
        <v>348</v>
      </c>
      <c r="M384" s="649" t="s">
        <v>2533</v>
      </c>
      <c r="N384" s="679">
        <v>67.071199999999919</v>
      </c>
      <c r="O384" s="679">
        <v>134.15400000000011</v>
      </c>
      <c r="P384" s="589" t="s">
        <v>2534</v>
      </c>
      <c r="Q384" s="680">
        <v>336.67839999999967</v>
      </c>
      <c r="R384" s="696"/>
      <c r="S384" s="553"/>
      <c r="T384" s="553"/>
      <c r="U384" s="553"/>
      <c r="V384" s="553"/>
      <c r="W384" s="553"/>
      <c r="X384" s="553"/>
      <c r="Y384" s="553"/>
      <c r="Z384" s="553"/>
      <c r="AA384" s="553"/>
      <c r="AB384" s="554"/>
      <c r="AC384" s="555"/>
      <c r="AD384" s="556"/>
      <c r="AE384" s="556"/>
      <c r="AF384" s="556"/>
      <c r="AG384" s="556"/>
    </row>
    <row r="385" spans="1:33">
      <c r="A385" s="585">
        <v>371</v>
      </c>
      <c r="B385" s="587" t="s">
        <v>2768</v>
      </c>
      <c r="C385" s="585">
        <v>371</v>
      </c>
      <c r="D385" s="629" t="s">
        <v>2295</v>
      </c>
      <c r="E385" s="586" t="s">
        <v>270</v>
      </c>
      <c r="F385" s="675">
        <v>6.0807099999999996E-2</v>
      </c>
      <c r="G385" s="676">
        <v>2538.48</v>
      </c>
      <c r="H385" s="588">
        <v>487.2</v>
      </c>
      <c r="I385" s="587" t="s">
        <v>549</v>
      </c>
      <c r="J385" s="585">
        <v>1</v>
      </c>
      <c r="K385" s="585" t="s">
        <v>764</v>
      </c>
      <c r="L385" s="678">
        <v>348</v>
      </c>
      <c r="M385" s="649" t="s">
        <v>2533</v>
      </c>
      <c r="N385" s="679">
        <v>67.071199999999919</v>
      </c>
      <c r="O385" s="679">
        <v>134.15400000000011</v>
      </c>
      <c r="P385" s="589" t="s">
        <v>2534</v>
      </c>
      <c r="Q385" s="680">
        <v>336.67839999999967</v>
      </c>
      <c r="R385" s="696"/>
      <c r="S385" s="553"/>
      <c r="T385" s="553"/>
      <c r="U385" s="553"/>
      <c r="V385" s="553"/>
      <c r="W385" s="553"/>
      <c r="X385" s="553"/>
      <c r="Y385" s="553"/>
      <c r="Z385" s="553"/>
      <c r="AA385" s="553"/>
      <c r="AB385" s="554"/>
      <c r="AC385" s="555"/>
      <c r="AD385" s="556"/>
      <c r="AE385" s="556"/>
      <c r="AF385" s="556"/>
      <c r="AG385" s="556"/>
    </row>
    <row r="386" spans="1:33">
      <c r="A386" s="585">
        <v>372</v>
      </c>
      <c r="B386" s="587" t="s">
        <v>4299</v>
      </c>
      <c r="C386" s="585">
        <v>372</v>
      </c>
      <c r="D386" s="629" t="s">
        <v>4300</v>
      </c>
      <c r="E386" s="586" t="s">
        <v>4301</v>
      </c>
      <c r="F386" s="675">
        <v>4.0341300000000004E-2</v>
      </c>
      <c r="G386" s="676">
        <v>2538.48</v>
      </c>
      <c r="H386" s="588">
        <v>487.2</v>
      </c>
      <c r="I386" s="587" t="s">
        <v>549</v>
      </c>
      <c r="J386" s="585">
        <v>1</v>
      </c>
      <c r="K386" s="585" t="s">
        <v>4302</v>
      </c>
      <c r="L386" s="678">
        <v>348</v>
      </c>
      <c r="M386" s="649" t="s">
        <v>2533</v>
      </c>
      <c r="N386" s="679">
        <v>67.071199999999919</v>
      </c>
      <c r="O386" s="679">
        <v>134.15400000000011</v>
      </c>
      <c r="P386" s="589" t="s">
        <v>2534</v>
      </c>
      <c r="Q386" s="680">
        <v>336.67839999999967</v>
      </c>
      <c r="R386" s="696"/>
      <c r="S386" s="553"/>
      <c r="T386" s="553"/>
      <c r="U386" s="553"/>
      <c r="V386" s="553"/>
      <c r="W386" s="553"/>
      <c r="X386" s="553"/>
      <c r="Y386" s="553"/>
      <c r="Z386" s="553"/>
      <c r="AA386" s="553"/>
      <c r="AB386" s="554"/>
      <c r="AC386" s="555"/>
      <c r="AD386" s="556"/>
      <c r="AE386" s="556"/>
      <c r="AF386" s="556"/>
      <c r="AG386" s="556"/>
    </row>
    <row r="387" spans="1:33">
      <c r="A387" s="585">
        <v>373</v>
      </c>
      <c r="B387" s="587" t="s">
        <v>4347</v>
      </c>
      <c r="C387" s="585">
        <v>373</v>
      </c>
      <c r="D387" s="629" t="s">
        <v>4300</v>
      </c>
      <c r="E387" s="586" t="s">
        <v>5076</v>
      </c>
      <c r="F387" s="675">
        <v>5.4875800000000002E-2</v>
      </c>
      <c r="G387" s="676">
        <v>2538.48</v>
      </c>
      <c r="H387" s="588">
        <v>487.2</v>
      </c>
      <c r="I387" s="587" t="s">
        <v>549</v>
      </c>
      <c r="J387" s="585">
        <v>1</v>
      </c>
      <c r="K387" s="585" t="s">
        <v>4303</v>
      </c>
      <c r="L387" s="678">
        <v>348</v>
      </c>
      <c r="M387" s="649" t="s">
        <v>2533</v>
      </c>
      <c r="N387" s="679">
        <v>67.071199999999919</v>
      </c>
      <c r="O387" s="679">
        <v>134.15400000000011</v>
      </c>
      <c r="P387" s="589" t="s">
        <v>2534</v>
      </c>
      <c r="Q387" s="680">
        <v>336.67839999999967</v>
      </c>
      <c r="R387" s="696"/>
      <c r="S387" s="553"/>
      <c r="T387" s="553"/>
      <c r="U387" s="553"/>
      <c r="V387" s="553"/>
      <c r="W387" s="553"/>
      <c r="X387" s="553"/>
      <c r="Y387" s="553"/>
      <c r="Z387" s="553"/>
      <c r="AA387" s="553"/>
      <c r="AB387" s="554"/>
      <c r="AC387" s="555"/>
      <c r="AD387" s="556"/>
      <c r="AE387" s="556"/>
      <c r="AF387" s="556"/>
      <c r="AG387" s="556"/>
    </row>
    <row r="388" spans="1:33">
      <c r="A388" s="585">
        <v>374</v>
      </c>
      <c r="B388" s="587" t="s">
        <v>4304</v>
      </c>
      <c r="C388" s="585">
        <v>374</v>
      </c>
      <c r="D388" s="629" t="s">
        <v>4300</v>
      </c>
      <c r="E388" s="586" t="s">
        <v>4305</v>
      </c>
      <c r="F388" s="675">
        <v>3.9910000000000001E-2</v>
      </c>
      <c r="G388" s="676">
        <v>2538.48</v>
      </c>
      <c r="H388" s="588">
        <v>487.2</v>
      </c>
      <c r="I388" s="587" t="s">
        <v>549</v>
      </c>
      <c r="J388" s="585">
        <v>1</v>
      </c>
      <c r="K388" s="585" t="s">
        <v>4306</v>
      </c>
      <c r="L388" s="678">
        <v>348</v>
      </c>
      <c r="M388" s="649" t="s">
        <v>2533</v>
      </c>
      <c r="N388" s="679">
        <v>67.071199999999919</v>
      </c>
      <c r="O388" s="679">
        <v>134.15400000000011</v>
      </c>
      <c r="P388" s="589" t="s">
        <v>2534</v>
      </c>
      <c r="Q388" s="680">
        <v>336.67839999999967</v>
      </c>
      <c r="R388" s="696"/>
      <c r="S388" s="553"/>
      <c r="T388" s="553"/>
      <c r="U388" s="553"/>
      <c r="V388" s="553"/>
      <c r="W388" s="553"/>
      <c r="X388" s="553"/>
      <c r="Y388" s="553"/>
      <c r="Z388" s="553"/>
      <c r="AA388" s="553"/>
      <c r="AB388" s="554"/>
      <c r="AC388" s="555"/>
      <c r="AD388" s="556"/>
      <c r="AE388" s="556"/>
      <c r="AF388" s="556"/>
      <c r="AG388" s="556"/>
    </row>
    <row r="389" spans="1:33">
      <c r="A389" s="585">
        <v>375</v>
      </c>
      <c r="B389" s="587" t="s">
        <v>4526</v>
      </c>
      <c r="C389" s="585">
        <v>375</v>
      </c>
      <c r="D389" s="629" t="s">
        <v>4300</v>
      </c>
      <c r="E389" s="586" t="s">
        <v>4532</v>
      </c>
      <c r="F389" s="675">
        <v>3.09754E-2</v>
      </c>
      <c r="G389" s="676">
        <v>2538.48</v>
      </c>
      <c r="H389" s="588">
        <v>487.2</v>
      </c>
      <c r="I389" s="587" t="s">
        <v>549</v>
      </c>
      <c r="J389" s="585">
        <v>1</v>
      </c>
      <c r="K389" s="585" t="s">
        <v>4538</v>
      </c>
      <c r="L389" s="678">
        <v>348</v>
      </c>
      <c r="M389" s="649" t="s">
        <v>2533</v>
      </c>
      <c r="N389" s="679">
        <v>67.071199999999919</v>
      </c>
      <c r="O389" s="679">
        <v>134.15400000000011</v>
      </c>
      <c r="P389" s="589" t="s">
        <v>2534</v>
      </c>
      <c r="Q389" s="680">
        <v>336.67839999999967</v>
      </c>
      <c r="R389" s="696"/>
      <c r="S389" s="553"/>
      <c r="T389" s="553"/>
      <c r="U389" s="553"/>
      <c r="V389" s="553"/>
      <c r="W389" s="553"/>
      <c r="X389" s="553"/>
      <c r="Y389" s="553"/>
      <c r="Z389" s="553"/>
      <c r="AA389" s="553"/>
      <c r="AB389" s="554"/>
      <c r="AC389" s="555"/>
      <c r="AD389" s="556"/>
      <c r="AE389" s="556"/>
      <c r="AF389" s="556"/>
      <c r="AG389" s="556"/>
    </row>
    <row r="390" spans="1:33">
      <c r="A390" s="585">
        <v>376</v>
      </c>
      <c r="B390" s="587" t="s">
        <v>10415</v>
      </c>
      <c r="C390" s="585">
        <v>376</v>
      </c>
      <c r="D390" s="629" t="s">
        <v>4300</v>
      </c>
      <c r="E390" s="586" t="s">
        <v>10449</v>
      </c>
      <c r="F390" s="675">
        <v>3.4355999999999998E-2</v>
      </c>
      <c r="G390" s="676">
        <v>2538.48</v>
      </c>
      <c r="H390" s="588">
        <v>487.2</v>
      </c>
      <c r="I390" s="587" t="s">
        <v>549</v>
      </c>
      <c r="J390" s="585">
        <v>1</v>
      </c>
      <c r="K390" s="585" t="s">
        <v>10480</v>
      </c>
      <c r="L390" s="678">
        <v>348</v>
      </c>
      <c r="M390" s="649" t="s">
        <v>2533</v>
      </c>
      <c r="N390" s="679">
        <v>67.071199999999919</v>
      </c>
      <c r="O390" s="679">
        <v>134.15399999999985</v>
      </c>
      <c r="P390" s="589" t="s">
        <v>2534</v>
      </c>
      <c r="Q390" s="680">
        <v>336.67840000000001</v>
      </c>
      <c r="R390" s="696"/>
      <c r="S390" s="553"/>
      <c r="T390" s="553"/>
      <c r="U390" s="553"/>
      <c r="V390" s="553"/>
      <c r="W390" s="553"/>
      <c r="X390" s="553"/>
      <c r="Y390" s="553"/>
      <c r="Z390" s="553"/>
      <c r="AA390" s="553"/>
      <c r="AB390" s="554"/>
      <c r="AC390" s="555"/>
      <c r="AD390" s="556"/>
      <c r="AE390" s="556"/>
      <c r="AF390" s="556"/>
      <c r="AG390" s="556"/>
    </row>
    <row r="391" spans="1:33">
      <c r="A391" s="585">
        <v>377</v>
      </c>
      <c r="B391" s="587" t="s">
        <v>3387</v>
      </c>
      <c r="C391" s="585">
        <v>377</v>
      </c>
      <c r="D391" s="629" t="s">
        <v>304</v>
      </c>
      <c r="E391" s="586" t="s">
        <v>3415</v>
      </c>
      <c r="F391" s="675">
        <v>4.1353899999999999E-2</v>
      </c>
      <c r="G391" s="676">
        <v>2538.48</v>
      </c>
      <c r="H391" s="588">
        <v>487.2</v>
      </c>
      <c r="I391" s="587" t="s">
        <v>549</v>
      </c>
      <c r="J391" s="585">
        <v>1</v>
      </c>
      <c r="K391" s="585" t="s">
        <v>3441</v>
      </c>
      <c r="L391" s="678">
        <v>348</v>
      </c>
      <c r="M391" s="649" t="s">
        <v>2533</v>
      </c>
      <c r="N391" s="679">
        <v>67.071199999999919</v>
      </c>
      <c r="O391" s="679">
        <v>134.15400000000011</v>
      </c>
      <c r="P391" s="589" t="s">
        <v>2534</v>
      </c>
      <c r="Q391" s="680">
        <v>336.67839999999967</v>
      </c>
      <c r="R391" s="696"/>
      <c r="S391" s="553"/>
      <c r="T391" s="553"/>
      <c r="U391" s="553"/>
      <c r="V391" s="553"/>
      <c r="W391" s="553"/>
      <c r="X391" s="553"/>
      <c r="Y391" s="553"/>
      <c r="Z391" s="553"/>
      <c r="AA391" s="553"/>
      <c r="AB391" s="554"/>
      <c r="AC391" s="555"/>
      <c r="AD391" s="556"/>
      <c r="AE391" s="556"/>
      <c r="AF391" s="556"/>
      <c r="AG391" s="556"/>
    </row>
    <row r="392" spans="1:33">
      <c r="A392" s="585">
        <v>378</v>
      </c>
      <c r="B392" s="587" t="s">
        <v>3388</v>
      </c>
      <c r="C392" s="585">
        <v>378</v>
      </c>
      <c r="D392" s="629" t="s">
        <v>304</v>
      </c>
      <c r="E392" s="586" t="s">
        <v>3416</v>
      </c>
      <c r="F392" s="675">
        <v>4.1353899999999999E-2</v>
      </c>
      <c r="G392" s="676">
        <v>2538.48</v>
      </c>
      <c r="H392" s="588">
        <v>487.2</v>
      </c>
      <c r="I392" s="587" t="s">
        <v>549</v>
      </c>
      <c r="J392" s="585">
        <v>1</v>
      </c>
      <c r="K392" s="585" t="s">
        <v>3442</v>
      </c>
      <c r="L392" s="678">
        <v>348</v>
      </c>
      <c r="M392" s="649" t="s">
        <v>2533</v>
      </c>
      <c r="N392" s="679">
        <v>67.071199999999919</v>
      </c>
      <c r="O392" s="679">
        <v>134.15400000000011</v>
      </c>
      <c r="P392" s="589" t="s">
        <v>2534</v>
      </c>
      <c r="Q392" s="680">
        <v>336.67839999999967</v>
      </c>
      <c r="R392" s="696"/>
      <c r="S392" s="553"/>
      <c r="T392" s="553"/>
      <c r="U392" s="553"/>
      <c r="V392" s="553"/>
      <c r="W392" s="553"/>
      <c r="X392" s="553"/>
      <c r="Y392" s="553"/>
      <c r="Z392" s="553"/>
      <c r="AA392" s="553"/>
      <c r="AB392" s="554"/>
      <c r="AC392" s="555"/>
      <c r="AD392" s="556"/>
      <c r="AE392" s="556"/>
      <c r="AF392" s="556"/>
      <c r="AG392" s="556"/>
    </row>
    <row r="393" spans="1:33">
      <c r="A393" s="585">
        <v>379</v>
      </c>
      <c r="B393" s="587" t="s">
        <v>3389</v>
      </c>
      <c r="C393" s="585">
        <v>379</v>
      </c>
      <c r="D393" s="629" t="s">
        <v>304</v>
      </c>
      <c r="E393" s="586" t="s">
        <v>3417</v>
      </c>
      <c r="F393" s="675">
        <v>4.1353899999999999E-2</v>
      </c>
      <c r="G393" s="676">
        <v>2538.48</v>
      </c>
      <c r="H393" s="588">
        <v>487.2</v>
      </c>
      <c r="I393" s="587" t="s">
        <v>549</v>
      </c>
      <c r="J393" s="585">
        <v>1</v>
      </c>
      <c r="K393" s="585" t="s">
        <v>3443</v>
      </c>
      <c r="L393" s="678">
        <v>348</v>
      </c>
      <c r="M393" s="649" t="s">
        <v>2533</v>
      </c>
      <c r="N393" s="679">
        <v>67.071199999999919</v>
      </c>
      <c r="O393" s="679">
        <v>134.15400000000011</v>
      </c>
      <c r="P393" s="589" t="s">
        <v>2534</v>
      </c>
      <c r="Q393" s="680">
        <v>336.67839999999967</v>
      </c>
      <c r="R393" s="696"/>
      <c r="S393" s="553"/>
      <c r="T393" s="553"/>
      <c r="U393" s="553"/>
      <c r="V393" s="553"/>
      <c r="W393" s="553"/>
      <c r="X393" s="553"/>
      <c r="Y393" s="553"/>
      <c r="Z393" s="553"/>
      <c r="AA393" s="553"/>
      <c r="AB393" s="554"/>
      <c r="AC393" s="555"/>
      <c r="AD393" s="556"/>
      <c r="AE393" s="556"/>
      <c r="AF393" s="556"/>
      <c r="AG393" s="556"/>
    </row>
    <row r="394" spans="1:33">
      <c r="A394" s="585">
        <v>380</v>
      </c>
      <c r="B394" s="587" t="s">
        <v>3390</v>
      </c>
      <c r="C394" s="585">
        <v>380</v>
      </c>
      <c r="D394" s="629" t="s">
        <v>304</v>
      </c>
      <c r="E394" s="586" t="s">
        <v>3418</v>
      </c>
      <c r="F394" s="675">
        <v>4.1353899999999999E-2</v>
      </c>
      <c r="G394" s="676">
        <v>2538.48</v>
      </c>
      <c r="H394" s="588">
        <v>487.2</v>
      </c>
      <c r="I394" s="587" t="s">
        <v>549</v>
      </c>
      <c r="J394" s="585">
        <v>1</v>
      </c>
      <c r="K394" s="585" t="s">
        <v>3444</v>
      </c>
      <c r="L394" s="678">
        <v>348</v>
      </c>
      <c r="M394" s="649" t="s">
        <v>2533</v>
      </c>
      <c r="N394" s="679">
        <v>67.071199999999919</v>
      </c>
      <c r="O394" s="679">
        <v>134.15400000000011</v>
      </c>
      <c r="P394" s="589" t="s">
        <v>2534</v>
      </c>
      <c r="Q394" s="680">
        <v>336.67839999999967</v>
      </c>
      <c r="R394" s="696"/>
      <c r="S394" s="553"/>
      <c r="T394" s="553"/>
      <c r="U394" s="553"/>
      <c r="V394" s="553"/>
      <c r="W394" s="553"/>
      <c r="X394" s="553"/>
      <c r="Y394" s="553"/>
      <c r="Z394" s="553"/>
      <c r="AA394" s="553"/>
      <c r="AB394" s="554"/>
      <c r="AC394" s="555"/>
      <c r="AD394" s="556"/>
      <c r="AE394" s="556"/>
      <c r="AF394" s="556"/>
      <c r="AG394" s="556"/>
    </row>
    <row r="395" spans="1:33">
      <c r="A395" s="585">
        <v>381</v>
      </c>
      <c r="B395" s="587" t="s">
        <v>3391</v>
      </c>
      <c r="C395" s="585">
        <v>381</v>
      </c>
      <c r="D395" s="629" t="s">
        <v>304</v>
      </c>
      <c r="E395" s="586" t="s">
        <v>3419</v>
      </c>
      <c r="F395" s="675">
        <v>4.1353899999999999E-2</v>
      </c>
      <c r="G395" s="676">
        <v>2538.48</v>
      </c>
      <c r="H395" s="588">
        <v>487.2</v>
      </c>
      <c r="I395" s="587" t="s">
        <v>549</v>
      </c>
      <c r="J395" s="585">
        <v>1</v>
      </c>
      <c r="K395" s="585" t="s">
        <v>3445</v>
      </c>
      <c r="L395" s="678">
        <v>348</v>
      </c>
      <c r="M395" s="649" t="s">
        <v>2533</v>
      </c>
      <c r="N395" s="679">
        <v>67.071199999999919</v>
      </c>
      <c r="O395" s="679">
        <v>134.15400000000011</v>
      </c>
      <c r="P395" s="589" t="s">
        <v>2534</v>
      </c>
      <c r="Q395" s="680">
        <v>336.67839999999967</v>
      </c>
      <c r="R395" s="696"/>
      <c r="S395" s="553"/>
      <c r="T395" s="553"/>
      <c r="U395" s="553"/>
      <c r="V395" s="553"/>
      <c r="W395" s="553"/>
      <c r="X395" s="553"/>
      <c r="Y395" s="553"/>
      <c r="Z395" s="553"/>
      <c r="AA395" s="553"/>
      <c r="AB395" s="554"/>
      <c r="AC395" s="555"/>
      <c r="AD395" s="556"/>
      <c r="AE395" s="556"/>
      <c r="AF395" s="556"/>
      <c r="AG395" s="556"/>
    </row>
    <row r="396" spans="1:33">
      <c r="A396" s="585">
        <v>382</v>
      </c>
      <c r="B396" s="587" t="s">
        <v>3392</v>
      </c>
      <c r="C396" s="585">
        <v>382</v>
      </c>
      <c r="D396" s="629" t="s">
        <v>304</v>
      </c>
      <c r="E396" s="586" t="s">
        <v>3420</v>
      </c>
      <c r="F396" s="675">
        <v>4.1353899999999999E-2</v>
      </c>
      <c r="G396" s="676">
        <v>2538.48</v>
      </c>
      <c r="H396" s="588">
        <v>487.2</v>
      </c>
      <c r="I396" s="587" t="s">
        <v>549</v>
      </c>
      <c r="J396" s="585">
        <v>1</v>
      </c>
      <c r="K396" s="585" t="s">
        <v>3446</v>
      </c>
      <c r="L396" s="678">
        <v>348</v>
      </c>
      <c r="M396" s="649" t="s">
        <v>2533</v>
      </c>
      <c r="N396" s="679">
        <v>67.071199999999919</v>
      </c>
      <c r="O396" s="679">
        <v>134.15400000000011</v>
      </c>
      <c r="P396" s="589" t="s">
        <v>2534</v>
      </c>
      <c r="Q396" s="680">
        <v>336.67839999999967</v>
      </c>
      <c r="R396" s="696"/>
      <c r="S396" s="553"/>
      <c r="T396" s="553"/>
      <c r="U396" s="553"/>
      <c r="V396" s="553"/>
      <c r="W396" s="553"/>
      <c r="X396" s="553"/>
      <c r="Y396" s="553"/>
      <c r="Z396" s="553"/>
      <c r="AA396" s="553"/>
      <c r="AB396" s="554"/>
      <c r="AC396" s="555"/>
      <c r="AD396" s="556"/>
      <c r="AE396" s="556"/>
      <c r="AF396" s="556"/>
      <c r="AG396" s="556"/>
    </row>
    <row r="397" spans="1:33">
      <c r="A397" s="585">
        <v>383</v>
      </c>
      <c r="B397" s="587" t="s">
        <v>3393</v>
      </c>
      <c r="C397" s="585">
        <v>383</v>
      </c>
      <c r="D397" s="629" t="s">
        <v>304</v>
      </c>
      <c r="E397" s="586" t="s">
        <v>3421</v>
      </c>
      <c r="F397" s="675">
        <v>4.1353899999999999E-2</v>
      </c>
      <c r="G397" s="676">
        <v>2538.48</v>
      </c>
      <c r="H397" s="588">
        <v>487.2</v>
      </c>
      <c r="I397" s="587" t="s">
        <v>549</v>
      </c>
      <c r="J397" s="585">
        <v>1</v>
      </c>
      <c r="K397" s="585" t="s">
        <v>3447</v>
      </c>
      <c r="L397" s="678">
        <v>348</v>
      </c>
      <c r="M397" s="649" t="s">
        <v>2533</v>
      </c>
      <c r="N397" s="679">
        <v>67.071199999999919</v>
      </c>
      <c r="O397" s="679">
        <v>134.15400000000011</v>
      </c>
      <c r="P397" s="589" t="s">
        <v>2534</v>
      </c>
      <c r="Q397" s="680">
        <v>336.67839999999967</v>
      </c>
      <c r="R397" s="696"/>
      <c r="S397" s="553"/>
      <c r="T397" s="553"/>
      <c r="U397" s="553"/>
      <c r="V397" s="553"/>
      <c r="W397" s="553"/>
      <c r="X397" s="553"/>
      <c r="Y397" s="553"/>
      <c r="Z397" s="553"/>
      <c r="AA397" s="553"/>
      <c r="AB397" s="554"/>
      <c r="AC397" s="555"/>
      <c r="AD397" s="556"/>
      <c r="AE397" s="556"/>
      <c r="AF397" s="556"/>
      <c r="AG397" s="556"/>
    </row>
    <row r="398" spans="1:33">
      <c r="A398" s="585">
        <v>384</v>
      </c>
      <c r="B398" s="587" t="s">
        <v>4307</v>
      </c>
      <c r="C398" s="585">
        <v>384</v>
      </c>
      <c r="D398" s="629" t="s">
        <v>304</v>
      </c>
      <c r="E398" s="586" t="s">
        <v>4308</v>
      </c>
      <c r="F398" s="675">
        <v>4.1353899999999999E-2</v>
      </c>
      <c r="G398" s="676">
        <v>2538.48</v>
      </c>
      <c r="H398" s="588">
        <v>487.2</v>
      </c>
      <c r="I398" s="587" t="s">
        <v>549</v>
      </c>
      <c r="J398" s="585">
        <v>1</v>
      </c>
      <c r="K398" s="585" t="s">
        <v>4309</v>
      </c>
      <c r="L398" s="678">
        <v>348</v>
      </c>
      <c r="M398" s="649" t="s">
        <v>2533</v>
      </c>
      <c r="N398" s="679">
        <v>67.071199999999919</v>
      </c>
      <c r="O398" s="679">
        <v>134.15400000000011</v>
      </c>
      <c r="P398" s="589" t="s">
        <v>2534</v>
      </c>
      <c r="Q398" s="680">
        <v>336.67839999999967</v>
      </c>
      <c r="R398" s="696"/>
      <c r="S398" s="553"/>
      <c r="T398" s="553"/>
      <c r="U398" s="553"/>
      <c r="V398" s="553"/>
      <c r="W398" s="553"/>
      <c r="X398" s="553"/>
      <c r="Y398" s="553"/>
      <c r="Z398" s="553"/>
      <c r="AA398" s="553"/>
      <c r="AB398" s="554"/>
      <c r="AC398" s="555"/>
      <c r="AD398" s="556"/>
      <c r="AE398" s="556"/>
      <c r="AF398" s="556"/>
      <c r="AG398" s="556"/>
    </row>
    <row r="399" spans="1:33">
      <c r="A399" s="585">
        <v>385</v>
      </c>
      <c r="B399" s="587" t="s">
        <v>3597</v>
      </c>
      <c r="C399" s="585">
        <v>385</v>
      </c>
      <c r="D399" s="629" t="s">
        <v>304</v>
      </c>
      <c r="E399" s="586" t="s">
        <v>3770</v>
      </c>
      <c r="F399" s="675">
        <v>4.1353899999999999E-2</v>
      </c>
      <c r="G399" s="676">
        <v>2538.48</v>
      </c>
      <c r="H399" s="588">
        <v>487.2</v>
      </c>
      <c r="I399" s="587" t="s">
        <v>549</v>
      </c>
      <c r="J399" s="585">
        <v>1</v>
      </c>
      <c r="K399" s="585" t="s">
        <v>3685</v>
      </c>
      <c r="L399" s="678">
        <v>348</v>
      </c>
      <c r="M399" s="649" t="s">
        <v>2533</v>
      </c>
      <c r="N399" s="679">
        <v>67.071199999999919</v>
      </c>
      <c r="O399" s="679">
        <v>134.15400000000011</v>
      </c>
      <c r="P399" s="589" t="s">
        <v>2534</v>
      </c>
      <c r="Q399" s="680">
        <v>336.67839999999967</v>
      </c>
      <c r="R399" s="696"/>
      <c r="S399" s="553"/>
      <c r="T399" s="553"/>
      <c r="U399" s="553"/>
      <c r="V399" s="553"/>
      <c r="W399" s="553"/>
      <c r="X399" s="553"/>
      <c r="Y399" s="553"/>
      <c r="Z399" s="553"/>
      <c r="AA399" s="553"/>
      <c r="AB399" s="554"/>
      <c r="AC399" s="555"/>
      <c r="AD399" s="556"/>
      <c r="AE399" s="556"/>
      <c r="AF399" s="556"/>
      <c r="AG399" s="556"/>
    </row>
    <row r="400" spans="1:33">
      <c r="A400" s="585">
        <v>386</v>
      </c>
      <c r="B400" s="587" t="s">
        <v>3394</v>
      </c>
      <c r="C400" s="585">
        <v>386</v>
      </c>
      <c r="D400" s="629" t="s">
        <v>304</v>
      </c>
      <c r="E400" s="586" t="s">
        <v>3422</v>
      </c>
      <c r="F400" s="675">
        <v>4.1353899999999999E-2</v>
      </c>
      <c r="G400" s="676">
        <v>2538.48</v>
      </c>
      <c r="H400" s="588">
        <v>487.2</v>
      </c>
      <c r="I400" s="587" t="s">
        <v>549</v>
      </c>
      <c r="J400" s="585">
        <v>1</v>
      </c>
      <c r="K400" s="585" t="s">
        <v>3448</v>
      </c>
      <c r="L400" s="678">
        <v>348</v>
      </c>
      <c r="M400" s="649" t="s">
        <v>2533</v>
      </c>
      <c r="N400" s="679">
        <v>67.071199999999919</v>
      </c>
      <c r="O400" s="679">
        <v>134.15400000000011</v>
      </c>
      <c r="P400" s="589" t="s">
        <v>2534</v>
      </c>
      <c r="Q400" s="680">
        <v>336.67839999999967</v>
      </c>
      <c r="R400" s="696"/>
      <c r="S400" s="553"/>
      <c r="T400" s="553"/>
      <c r="U400" s="553"/>
      <c r="V400" s="553"/>
      <c r="W400" s="553"/>
      <c r="X400" s="553"/>
      <c r="Y400" s="553"/>
      <c r="Z400" s="553"/>
      <c r="AA400" s="553"/>
      <c r="AB400" s="554"/>
      <c r="AC400" s="555"/>
      <c r="AD400" s="556"/>
      <c r="AE400" s="556"/>
      <c r="AF400" s="556"/>
      <c r="AG400" s="556"/>
    </row>
    <row r="401" spans="1:33">
      <c r="A401" s="585">
        <v>387</v>
      </c>
      <c r="B401" s="587" t="s">
        <v>3598</v>
      </c>
      <c r="C401" s="585">
        <v>387</v>
      </c>
      <c r="D401" s="629" t="s">
        <v>304</v>
      </c>
      <c r="E401" s="586" t="s">
        <v>3771</v>
      </c>
      <c r="F401" s="675">
        <v>4.1353899999999999E-2</v>
      </c>
      <c r="G401" s="676">
        <v>2538.48</v>
      </c>
      <c r="H401" s="588">
        <v>487.2</v>
      </c>
      <c r="I401" s="587" t="s">
        <v>549</v>
      </c>
      <c r="J401" s="585">
        <v>1</v>
      </c>
      <c r="K401" s="585" t="s">
        <v>3686</v>
      </c>
      <c r="L401" s="678">
        <v>348</v>
      </c>
      <c r="M401" s="649" t="s">
        <v>2533</v>
      </c>
      <c r="N401" s="679">
        <v>67.071199999999919</v>
      </c>
      <c r="O401" s="679">
        <v>134.15400000000011</v>
      </c>
      <c r="P401" s="589" t="s">
        <v>2534</v>
      </c>
      <c r="Q401" s="680">
        <v>336.67839999999967</v>
      </c>
      <c r="R401" s="696"/>
      <c r="S401" s="553"/>
      <c r="T401" s="553"/>
      <c r="U401" s="553"/>
      <c r="V401" s="553"/>
      <c r="W401" s="553"/>
      <c r="X401" s="553"/>
      <c r="Y401" s="553"/>
      <c r="Z401" s="553"/>
      <c r="AA401" s="553"/>
      <c r="AB401" s="554"/>
      <c r="AC401" s="555"/>
      <c r="AD401" s="556"/>
      <c r="AE401" s="556"/>
      <c r="AF401" s="556"/>
      <c r="AG401" s="556"/>
    </row>
    <row r="402" spans="1:33">
      <c r="A402" s="585">
        <v>388</v>
      </c>
      <c r="B402" s="587" t="s">
        <v>3457</v>
      </c>
      <c r="C402" s="585">
        <v>388</v>
      </c>
      <c r="D402" s="629" t="s">
        <v>304</v>
      </c>
      <c r="E402" s="586" t="s">
        <v>3458</v>
      </c>
      <c r="F402" s="675">
        <v>4.1353899999999999E-2</v>
      </c>
      <c r="G402" s="676">
        <v>2538.48</v>
      </c>
      <c r="H402" s="588">
        <v>487.2</v>
      </c>
      <c r="I402" s="587" t="s">
        <v>549</v>
      </c>
      <c r="J402" s="585">
        <v>1</v>
      </c>
      <c r="K402" s="585" t="s">
        <v>3459</v>
      </c>
      <c r="L402" s="678">
        <v>348</v>
      </c>
      <c r="M402" s="649" t="s">
        <v>2533</v>
      </c>
      <c r="N402" s="679">
        <v>67.071199999999919</v>
      </c>
      <c r="O402" s="679">
        <v>134.15400000000011</v>
      </c>
      <c r="P402" s="589" t="s">
        <v>2534</v>
      </c>
      <c r="Q402" s="680">
        <v>336.67839999999967</v>
      </c>
      <c r="R402" s="696"/>
      <c r="S402" s="553"/>
      <c r="T402" s="553"/>
      <c r="U402" s="553"/>
      <c r="V402" s="553"/>
      <c r="W402" s="553"/>
      <c r="X402" s="553"/>
      <c r="Y402" s="553"/>
      <c r="Z402" s="553"/>
      <c r="AA402" s="553"/>
      <c r="AB402" s="554"/>
      <c r="AC402" s="555"/>
      <c r="AD402" s="556"/>
      <c r="AE402" s="556"/>
      <c r="AF402" s="556"/>
      <c r="AG402" s="556"/>
    </row>
    <row r="403" spans="1:33">
      <c r="A403" s="585">
        <v>389</v>
      </c>
      <c r="B403" s="587" t="s">
        <v>10416</v>
      </c>
      <c r="C403" s="585">
        <v>389</v>
      </c>
      <c r="D403" s="629" t="s">
        <v>3772</v>
      </c>
      <c r="E403" s="586" t="s">
        <v>10450</v>
      </c>
      <c r="F403" s="675">
        <v>2.6136E-2</v>
      </c>
      <c r="G403" s="676">
        <v>8691.4159999999993</v>
      </c>
      <c r="H403" s="588">
        <v>487.2</v>
      </c>
      <c r="I403" s="587" t="s">
        <v>3793</v>
      </c>
      <c r="J403" s="585">
        <v>3</v>
      </c>
      <c r="K403" s="585" t="s">
        <v>10481</v>
      </c>
      <c r="L403" s="678">
        <v>0</v>
      </c>
      <c r="M403" s="649" t="s">
        <v>2533</v>
      </c>
      <c r="N403" s="679">
        <v>354.90199999999999</v>
      </c>
      <c r="O403" s="679">
        <v>709.80399999999997</v>
      </c>
      <c r="P403" s="589" t="s">
        <v>2534</v>
      </c>
      <c r="Q403" s="680">
        <v>0</v>
      </c>
      <c r="R403" s="696"/>
      <c r="S403" s="553"/>
      <c r="T403" s="553"/>
      <c r="U403" s="553"/>
      <c r="V403" s="553"/>
      <c r="W403" s="553"/>
      <c r="X403" s="553"/>
      <c r="Y403" s="553"/>
      <c r="Z403" s="553"/>
      <c r="AA403" s="553"/>
      <c r="AB403" s="554"/>
      <c r="AC403" s="555"/>
      <c r="AD403" s="556"/>
      <c r="AE403" s="556"/>
      <c r="AF403" s="556"/>
      <c r="AG403" s="556"/>
    </row>
    <row r="404" spans="1:33">
      <c r="A404" s="585">
        <v>390</v>
      </c>
      <c r="B404" s="587" t="s">
        <v>5137</v>
      </c>
      <c r="C404" s="585">
        <v>390</v>
      </c>
      <c r="D404" s="629" t="s">
        <v>3772</v>
      </c>
      <c r="E404" s="586" t="s">
        <v>5149</v>
      </c>
      <c r="F404" s="675">
        <v>4.9057000000000003E-2</v>
      </c>
      <c r="G404" s="676">
        <v>11870.23</v>
      </c>
      <c r="H404" s="588">
        <v>487.2</v>
      </c>
      <c r="I404" s="587" t="s">
        <v>3793</v>
      </c>
      <c r="J404" s="585">
        <v>3</v>
      </c>
      <c r="K404" s="585" t="s">
        <v>5161</v>
      </c>
      <c r="L404" s="678">
        <v>0</v>
      </c>
      <c r="M404" s="649" t="s">
        <v>2533</v>
      </c>
      <c r="N404" s="679">
        <v>415.31500000000051</v>
      </c>
      <c r="O404" s="679">
        <v>830.63000000000102</v>
      </c>
      <c r="P404" s="589" t="s">
        <v>2534</v>
      </c>
      <c r="Q404" s="680">
        <v>0</v>
      </c>
      <c r="R404" s="696"/>
      <c r="S404" s="553"/>
      <c r="T404" s="553"/>
      <c r="U404" s="553"/>
      <c r="V404" s="553"/>
      <c r="W404" s="553"/>
      <c r="X404" s="553"/>
      <c r="Y404" s="553"/>
      <c r="Z404" s="553"/>
      <c r="AA404" s="553"/>
      <c r="AB404" s="554"/>
      <c r="AC404" s="555"/>
      <c r="AD404" s="556"/>
      <c r="AE404" s="556"/>
      <c r="AF404" s="556"/>
      <c r="AG404" s="556"/>
    </row>
    <row r="405" spans="1:33">
      <c r="A405" s="585">
        <v>391</v>
      </c>
      <c r="B405" s="587" t="s">
        <v>10417</v>
      </c>
      <c r="C405" s="585">
        <v>391</v>
      </c>
      <c r="D405" s="629" t="s">
        <v>3772</v>
      </c>
      <c r="E405" s="586" t="s">
        <v>10451</v>
      </c>
      <c r="F405" s="675">
        <v>2.6136E-2</v>
      </c>
      <c r="G405" s="676">
        <v>8691.42</v>
      </c>
      <c r="H405" s="588">
        <v>487.2</v>
      </c>
      <c r="I405" s="587" t="s">
        <v>3793</v>
      </c>
      <c r="J405" s="585">
        <v>3</v>
      </c>
      <c r="K405" s="585" t="s">
        <v>10482</v>
      </c>
      <c r="L405" s="678">
        <v>0</v>
      </c>
      <c r="M405" s="649" t="s">
        <v>2533</v>
      </c>
      <c r="N405" s="679">
        <v>354.90200000000084</v>
      </c>
      <c r="O405" s="679">
        <v>709.80400000000066</v>
      </c>
      <c r="P405" s="589" t="s">
        <v>2534</v>
      </c>
      <c r="Q405" s="680">
        <v>0</v>
      </c>
      <c r="R405" s="696"/>
      <c r="S405" s="553"/>
      <c r="T405" s="553"/>
      <c r="U405" s="553"/>
      <c r="V405" s="553"/>
      <c r="W405" s="553"/>
      <c r="X405" s="553"/>
      <c r="Y405" s="553"/>
      <c r="Z405" s="553"/>
      <c r="AA405" s="553"/>
      <c r="AB405" s="554"/>
      <c r="AC405" s="555"/>
      <c r="AD405" s="556"/>
      <c r="AE405" s="556"/>
      <c r="AF405" s="556"/>
      <c r="AG405" s="556"/>
    </row>
    <row r="406" spans="1:33">
      <c r="A406" s="585">
        <v>392</v>
      </c>
      <c r="B406" s="587" t="s">
        <v>3599</v>
      </c>
      <c r="C406" s="585">
        <v>392</v>
      </c>
      <c r="D406" s="629" t="s">
        <v>3772</v>
      </c>
      <c r="E406" s="586" t="s">
        <v>3773</v>
      </c>
      <c r="F406" s="675">
        <v>3.1363000000000002E-2</v>
      </c>
      <c r="G406" s="676">
        <v>7453.37</v>
      </c>
      <c r="H406" s="588">
        <v>487.2</v>
      </c>
      <c r="I406" s="587" t="s">
        <v>3793</v>
      </c>
      <c r="J406" s="585">
        <v>3</v>
      </c>
      <c r="K406" s="585" t="s">
        <v>3687</v>
      </c>
      <c r="L406" s="678">
        <v>0</v>
      </c>
      <c r="M406" s="649" t="s">
        <v>2533</v>
      </c>
      <c r="N406" s="679">
        <v>298.14</v>
      </c>
      <c r="O406" s="679">
        <v>596.29</v>
      </c>
      <c r="P406" s="589" t="s">
        <v>2534</v>
      </c>
      <c r="Q406" s="680">
        <v>0</v>
      </c>
      <c r="R406" s="696"/>
      <c r="S406" s="553"/>
      <c r="T406" s="553"/>
      <c r="U406" s="553"/>
      <c r="V406" s="553"/>
      <c r="W406" s="553"/>
      <c r="X406" s="553"/>
      <c r="Y406" s="553"/>
      <c r="Z406" s="553"/>
      <c r="AA406" s="553"/>
      <c r="AB406" s="554"/>
      <c r="AC406" s="555"/>
      <c r="AD406" s="556"/>
      <c r="AE406" s="556"/>
      <c r="AF406" s="556"/>
      <c r="AG406" s="556"/>
    </row>
    <row r="407" spans="1:33">
      <c r="A407" s="585">
        <v>393</v>
      </c>
      <c r="B407" s="587" t="s">
        <v>10418</v>
      </c>
      <c r="C407" s="585">
        <v>393</v>
      </c>
      <c r="D407" s="629" t="s">
        <v>3772</v>
      </c>
      <c r="E407" s="586" t="s">
        <v>10452</v>
      </c>
      <c r="F407" s="675">
        <v>3.1363000000000002E-2</v>
      </c>
      <c r="G407" s="676">
        <v>7453.3711999999996</v>
      </c>
      <c r="H407" s="588">
        <v>487.2</v>
      </c>
      <c r="I407" s="587" t="s">
        <v>3793</v>
      </c>
      <c r="J407" s="585">
        <v>3</v>
      </c>
      <c r="K407" s="585" t="s">
        <v>10483</v>
      </c>
      <c r="L407" s="678">
        <v>0</v>
      </c>
      <c r="M407" s="649" t="s">
        <v>2533</v>
      </c>
      <c r="N407" s="679">
        <v>298.14319999999947</v>
      </c>
      <c r="O407" s="679">
        <v>596.28639999999996</v>
      </c>
      <c r="P407" s="589" t="s">
        <v>2534</v>
      </c>
      <c r="Q407" s="680">
        <v>0</v>
      </c>
      <c r="R407" s="696"/>
      <c r="S407" s="553"/>
      <c r="T407" s="553"/>
      <c r="U407" s="553"/>
      <c r="V407" s="553"/>
      <c r="W407" s="553"/>
      <c r="X407" s="553"/>
      <c r="Y407" s="553"/>
      <c r="Z407" s="553"/>
      <c r="AA407" s="553"/>
      <c r="AB407" s="554"/>
      <c r="AC407" s="555"/>
      <c r="AD407" s="556"/>
      <c r="AE407" s="556"/>
      <c r="AF407" s="556"/>
      <c r="AG407" s="556"/>
    </row>
    <row r="408" spans="1:33">
      <c r="A408" s="585">
        <v>394</v>
      </c>
      <c r="B408" s="587" t="s">
        <v>5062</v>
      </c>
      <c r="C408" s="585">
        <v>394</v>
      </c>
      <c r="D408" s="629" t="s">
        <v>3772</v>
      </c>
      <c r="E408" s="586" t="s">
        <v>5067</v>
      </c>
      <c r="F408" s="675">
        <v>4.9057000000000003E-2</v>
      </c>
      <c r="G408" s="676">
        <v>11870.23</v>
      </c>
      <c r="H408" s="588">
        <v>487.2</v>
      </c>
      <c r="I408" s="587" t="s">
        <v>3793</v>
      </c>
      <c r="J408" s="585">
        <v>3</v>
      </c>
      <c r="K408" s="585" t="s">
        <v>4571</v>
      </c>
      <c r="L408" s="678">
        <v>0</v>
      </c>
      <c r="M408" s="649" t="s">
        <v>2533</v>
      </c>
      <c r="N408" s="679">
        <v>415.31500000000051</v>
      </c>
      <c r="O408" s="679">
        <v>830.63000000000102</v>
      </c>
      <c r="P408" s="589" t="s">
        <v>2534</v>
      </c>
      <c r="Q408" s="680">
        <v>0</v>
      </c>
      <c r="R408" s="696"/>
      <c r="S408" s="553"/>
      <c r="T408" s="553"/>
      <c r="U408" s="553"/>
      <c r="V408" s="553"/>
      <c r="W408" s="553"/>
      <c r="X408" s="553"/>
      <c r="Y408" s="553"/>
      <c r="Z408" s="553"/>
      <c r="AA408" s="553"/>
      <c r="AB408" s="554"/>
      <c r="AC408" s="555"/>
      <c r="AD408" s="556"/>
      <c r="AE408" s="556"/>
      <c r="AF408" s="556"/>
      <c r="AG408" s="556"/>
    </row>
    <row r="409" spans="1:33">
      <c r="A409" s="585">
        <v>395</v>
      </c>
      <c r="B409" s="587" t="s">
        <v>5063</v>
      </c>
      <c r="C409" s="585">
        <v>395</v>
      </c>
      <c r="D409" s="629" t="s">
        <v>3772</v>
      </c>
      <c r="E409" s="586" t="s">
        <v>5068</v>
      </c>
      <c r="F409" s="675">
        <v>4.9057000000000003E-2</v>
      </c>
      <c r="G409" s="676">
        <v>11870.23</v>
      </c>
      <c r="H409" s="588">
        <v>487.2</v>
      </c>
      <c r="I409" s="587" t="s">
        <v>3793</v>
      </c>
      <c r="J409" s="585">
        <v>3</v>
      </c>
      <c r="K409" s="585" t="s">
        <v>4572</v>
      </c>
      <c r="L409" s="678">
        <v>0</v>
      </c>
      <c r="M409" s="649" t="s">
        <v>2533</v>
      </c>
      <c r="N409" s="679">
        <v>415.31500000000051</v>
      </c>
      <c r="O409" s="679">
        <v>830.63000000000102</v>
      </c>
      <c r="P409" s="589" t="s">
        <v>2534</v>
      </c>
      <c r="Q409" s="680">
        <v>0</v>
      </c>
      <c r="R409" s="696"/>
      <c r="S409" s="553"/>
      <c r="T409" s="553"/>
      <c r="U409" s="553"/>
      <c r="V409" s="553"/>
      <c r="W409" s="553"/>
      <c r="X409" s="553"/>
      <c r="Y409" s="553"/>
      <c r="Z409" s="553"/>
      <c r="AA409" s="553"/>
      <c r="AB409" s="554"/>
      <c r="AC409" s="555"/>
      <c r="AD409" s="556"/>
      <c r="AE409" s="556"/>
      <c r="AF409" s="556"/>
      <c r="AG409" s="556"/>
    </row>
    <row r="410" spans="1:33">
      <c r="A410" s="585">
        <v>396</v>
      </c>
      <c r="B410" s="587" t="s">
        <v>10419</v>
      </c>
      <c r="C410" s="585">
        <v>396</v>
      </c>
      <c r="D410" s="629" t="s">
        <v>3772</v>
      </c>
      <c r="E410" s="586" t="s">
        <v>10453</v>
      </c>
      <c r="F410" s="675">
        <v>4.9057000000000003E-2</v>
      </c>
      <c r="G410" s="676">
        <v>11870.233599999998</v>
      </c>
      <c r="H410" s="588">
        <v>487.2</v>
      </c>
      <c r="I410" s="587" t="s">
        <v>3793</v>
      </c>
      <c r="J410" s="585">
        <v>3</v>
      </c>
      <c r="K410" s="585" t="s">
        <v>10484</v>
      </c>
      <c r="L410" s="678">
        <v>0</v>
      </c>
      <c r="M410" s="649" t="s">
        <v>2533</v>
      </c>
      <c r="N410" s="679">
        <v>481.77120000000002</v>
      </c>
      <c r="O410" s="679">
        <v>963.5308</v>
      </c>
      <c r="P410" s="589" t="s">
        <v>2534</v>
      </c>
      <c r="Q410" s="680">
        <v>0</v>
      </c>
      <c r="R410" s="696"/>
      <c r="S410" s="553"/>
      <c r="T410" s="553"/>
      <c r="U410" s="553"/>
      <c r="V410" s="553"/>
      <c r="W410" s="553"/>
      <c r="X410" s="553"/>
      <c r="Y410" s="553"/>
      <c r="Z410" s="553"/>
      <c r="AA410" s="553"/>
      <c r="AB410" s="554"/>
      <c r="AC410" s="555"/>
      <c r="AD410" s="556"/>
      <c r="AE410" s="556"/>
      <c r="AF410" s="556"/>
      <c r="AG410" s="556"/>
    </row>
    <row r="411" spans="1:33">
      <c r="A411" s="585">
        <v>397</v>
      </c>
      <c r="B411" s="587" t="s">
        <v>10420</v>
      </c>
      <c r="C411" s="585">
        <v>397</v>
      </c>
      <c r="D411" s="629" t="s">
        <v>3772</v>
      </c>
      <c r="E411" s="586" t="s">
        <v>10454</v>
      </c>
      <c r="F411" s="675">
        <v>4.9057000000000003E-2</v>
      </c>
      <c r="G411" s="676">
        <v>11870.233599999998</v>
      </c>
      <c r="H411" s="588">
        <v>487.2</v>
      </c>
      <c r="I411" s="587" t="s">
        <v>3793</v>
      </c>
      <c r="J411" s="585">
        <v>3</v>
      </c>
      <c r="K411" s="585" t="s">
        <v>10485</v>
      </c>
      <c r="L411" s="678">
        <v>0</v>
      </c>
      <c r="M411" s="649" t="s">
        <v>2533</v>
      </c>
      <c r="N411" s="679">
        <v>481.77120000000002</v>
      </c>
      <c r="O411" s="679">
        <v>963.5308</v>
      </c>
      <c r="P411" s="589" t="s">
        <v>2534</v>
      </c>
      <c r="Q411" s="680">
        <v>0</v>
      </c>
      <c r="R411" s="696"/>
      <c r="S411" s="553"/>
      <c r="T411" s="553"/>
      <c r="U411" s="553"/>
      <c r="V411" s="553"/>
      <c r="W411" s="553"/>
      <c r="X411" s="553"/>
      <c r="Y411" s="553"/>
      <c r="Z411" s="553"/>
      <c r="AA411" s="553"/>
      <c r="AB411" s="554"/>
      <c r="AC411" s="555"/>
      <c r="AD411" s="556"/>
      <c r="AE411" s="556"/>
      <c r="AF411" s="556"/>
      <c r="AG411" s="556"/>
    </row>
    <row r="412" spans="1:33">
      <c r="A412" s="585">
        <v>398</v>
      </c>
      <c r="B412" s="587" t="s">
        <v>5138</v>
      </c>
      <c r="C412" s="585">
        <v>398</v>
      </c>
      <c r="D412" s="629" t="s">
        <v>3772</v>
      </c>
      <c r="E412" s="586" t="s">
        <v>5150</v>
      </c>
      <c r="F412" s="675">
        <v>2.6136E-2</v>
      </c>
      <c r="G412" s="676">
        <v>8691.42</v>
      </c>
      <c r="H412" s="588">
        <v>487.2</v>
      </c>
      <c r="I412" s="587" t="s">
        <v>3793</v>
      </c>
      <c r="J412" s="585">
        <v>3</v>
      </c>
      <c r="K412" s="585" t="s">
        <v>5162</v>
      </c>
      <c r="L412" s="678">
        <v>0</v>
      </c>
      <c r="M412" s="649" t="s">
        <v>2533</v>
      </c>
      <c r="N412" s="679">
        <v>305.95000000000073</v>
      </c>
      <c r="O412" s="679">
        <v>611.90000000000055</v>
      </c>
      <c r="P412" s="589" t="s">
        <v>2534</v>
      </c>
      <c r="Q412" s="680">
        <v>0</v>
      </c>
      <c r="R412" s="696"/>
      <c r="S412" s="553"/>
      <c r="T412" s="553"/>
      <c r="U412" s="553"/>
      <c r="V412" s="553"/>
      <c r="W412" s="553"/>
      <c r="X412" s="553"/>
      <c r="Y412" s="553"/>
      <c r="Z412" s="553"/>
      <c r="AA412" s="553"/>
      <c r="AB412" s="554"/>
      <c r="AC412" s="555"/>
      <c r="AD412" s="556"/>
      <c r="AE412" s="556"/>
      <c r="AF412" s="556"/>
      <c r="AG412" s="556"/>
    </row>
    <row r="413" spans="1:33">
      <c r="A413" s="585">
        <v>399</v>
      </c>
      <c r="B413" s="587" t="s">
        <v>2769</v>
      </c>
      <c r="C413" s="585">
        <v>399</v>
      </c>
      <c r="D413" s="629" t="s">
        <v>2296</v>
      </c>
      <c r="E413" s="586" t="s">
        <v>271</v>
      </c>
      <c r="F413" s="675">
        <v>4.8639700000000001E-2</v>
      </c>
      <c r="G413" s="676">
        <v>3463.0023344000001</v>
      </c>
      <c r="H413" s="588">
        <v>487.2</v>
      </c>
      <c r="I413" s="587" t="s">
        <v>601</v>
      </c>
      <c r="J413" s="585">
        <v>2</v>
      </c>
      <c r="K413" s="585" t="s">
        <v>765</v>
      </c>
      <c r="L413" s="678">
        <v>348</v>
      </c>
      <c r="M413" s="649" t="s">
        <v>2533</v>
      </c>
      <c r="N413" s="679">
        <v>121.62599999999989</v>
      </c>
      <c r="O413" s="679">
        <v>243.24040000000008</v>
      </c>
      <c r="P413" s="589" t="s">
        <v>2534</v>
      </c>
      <c r="Q413" s="680">
        <v>336.67839999999967</v>
      </c>
      <c r="R413" s="696"/>
      <c r="S413" s="553"/>
      <c r="T413" s="553"/>
      <c r="U413" s="553"/>
      <c r="V413" s="553"/>
      <c r="W413" s="553"/>
      <c r="X413" s="553"/>
      <c r="Y413" s="553"/>
      <c r="Z413" s="553"/>
      <c r="AA413" s="553"/>
      <c r="AB413" s="554"/>
      <c r="AC413" s="555"/>
      <c r="AD413" s="556"/>
      <c r="AE413" s="556"/>
      <c r="AF413" s="556"/>
      <c r="AG413" s="556"/>
    </row>
    <row r="414" spans="1:33">
      <c r="A414" s="585">
        <v>400</v>
      </c>
      <c r="B414" s="587" t="s">
        <v>2770</v>
      </c>
      <c r="C414" s="585">
        <v>400</v>
      </c>
      <c r="D414" s="629" t="s">
        <v>2296</v>
      </c>
      <c r="E414" s="586" t="s">
        <v>272</v>
      </c>
      <c r="F414" s="675">
        <v>5.0458100000000006E-2</v>
      </c>
      <c r="G414" s="676">
        <v>3463.0023344000001</v>
      </c>
      <c r="H414" s="588">
        <v>487.2</v>
      </c>
      <c r="I414" s="587" t="s">
        <v>601</v>
      </c>
      <c r="J414" s="585">
        <v>2</v>
      </c>
      <c r="K414" s="585" t="s">
        <v>766</v>
      </c>
      <c r="L414" s="678">
        <v>348</v>
      </c>
      <c r="M414" s="649" t="s">
        <v>2533</v>
      </c>
      <c r="N414" s="679">
        <v>121.62599999999989</v>
      </c>
      <c r="O414" s="679">
        <v>243.24040000000008</v>
      </c>
      <c r="P414" s="589" t="s">
        <v>2534</v>
      </c>
      <c r="Q414" s="680">
        <v>336.67839999999967</v>
      </c>
      <c r="R414" s="696"/>
      <c r="S414" s="553"/>
      <c r="T414" s="553"/>
      <c r="U414" s="553"/>
      <c r="V414" s="553"/>
      <c r="W414" s="553"/>
      <c r="X414" s="553"/>
      <c r="Y414" s="553"/>
      <c r="Z414" s="553"/>
      <c r="AA414" s="553"/>
      <c r="AB414" s="554"/>
      <c r="AC414" s="555"/>
      <c r="AD414" s="556"/>
      <c r="AE414" s="556"/>
      <c r="AF414" s="556"/>
      <c r="AG414" s="556"/>
    </row>
    <row r="415" spans="1:33">
      <c r="A415" s="585">
        <v>401</v>
      </c>
      <c r="B415" s="587" t="s">
        <v>2771</v>
      </c>
      <c r="C415" s="585">
        <v>401</v>
      </c>
      <c r="D415" s="629" t="s">
        <v>2296</v>
      </c>
      <c r="E415" s="586" t="s">
        <v>273</v>
      </c>
      <c r="F415" s="675">
        <v>5.0458100000000006E-2</v>
      </c>
      <c r="G415" s="676">
        <v>3463.0023344000001</v>
      </c>
      <c r="H415" s="588">
        <v>487.2</v>
      </c>
      <c r="I415" s="587" t="s">
        <v>601</v>
      </c>
      <c r="J415" s="585">
        <v>2</v>
      </c>
      <c r="K415" s="585" t="s">
        <v>767</v>
      </c>
      <c r="L415" s="678">
        <v>348</v>
      </c>
      <c r="M415" s="649" t="s">
        <v>2533</v>
      </c>
      <c r="N415" s="679">
        <v>121.62599999999989</v>
      </c>
      <c r="O415" s="679">
        <v>243.24040000000008</v>
      </c>
      <c r="P415" s="589" t="s">
        <v>2534</v>
      </c>
      <c r="Q415" s="680">
        <v>336.67839999999967</v>
      </c>
      <c r="R415" s="696"/>
      <c r="S415" s="553"/>
      <c r="T415" s="553"/>
      <c r="U415" s="553"/>
      <c r="V415" s="553"/>
      <c r="W415" s="553"/>
      <c r="X415" s="553"/>
      <c r="Y415" s="553"/>
      <c r="Z415" s="553"/>
      <c r="AA415" s="553"/>
      <c r="AB415" s="554"/>
      <c r="AC415" s="555"/>
      <c r="AD415" s="556"/>
      <c r="AE415" s="556"/>
      <c r="AF415" s="556"/>
      <c r="AG415" s="556"/>
    </row>
    <row r="416" spans="1:33">
      <c r="A416" s="585">
        <v>402</v>
      </c>
      <c r="B416" s="587" t="s">
        <v>2772</v>
      </c>
      <c r="C416" s="585">
        <v>402</v>
      </c>
      <c r="D416" s="629" t="s">
        <v>2296</v>
      </c>
      <c r="E416" s="586" t="s">
        <v>274</v>
      </c>
      <c r="F416" s="675">
        <v>5.0458100000000006E-2</v>
      </c>
      <c r="G416" s="676">
        <v>3463.0023344000001</v>
      </c>
      <c r="H416" s="588">
        <v>487.2</v>
      </c>
      <c r="I416" s="587" t="s">
        <v>601</v>
      </c>
      <c r="J416" s="585">
        <v>2</v>
      </c>
      <c r="K416" s="585" t="s">
        <v>768</v>
      </c>
      <c r="L416" s="678">
        <v>348</v>
      </c>
      <c r="M416" s="649" t="s">
        <v>2533</v>
      </c>
      <c r="N416" s="679">
        <v>121.62599999999989</v>
      </c>
      <c r="O416" s="679">
        <v>243.24040000000008</v>
      </c>
      <c r="P416" s="589" t="s">
        <v>2534</v>
      </c>
      <c r="Q416" s="680">
        <v>336.67839999999967</v>
      </c>
      <c r="R416" s="696"/>
      <c r="S416" s="553"/>
      <c r="T416" s="553"/>
      <c r="U416" s="553"/>
      <c r="V416" s="553"/>
      <c r="W416" s="553"/>
      <c r="X416" s="553"/>
      <c r="Y416" s="553"/>
      <c r="Z416" s="553"/>
      <c r="AA416" s="553"/>
      <c r="AB416" s="554"/>
      <c r="AC416" s="555"/>
      <c r="AD416" s="556"/>
      <c r="AE416" s="556"/>
      <c r="AF416" s="556"/>
      <c r="AG416" s="556"/>
    </row>
    <row r="417" spans="1:33">
      <c r="A417" s="585">
        <v>403</v>
      </c>
      <c r="B417" s="587" t="s">
        <v>2773</v>
      </c>
      <c r="C417" s="585">
        <v>403</v>
      </c>
      <c r="D417" s="629" t="s">
        <v>2296</v>
      </c>
      <c r="E417" s="586" t="s">
        <v>275</v>
      </c>
      <c r="F417" s="675">
        <v>4.1784200000000001E-2</v>
      </c>
      <c r="G417" s="676">
        <v>3463.0023344000001</v>
      </c>
      <c r="H417" s="588">
        <v>487.2</v>
      </c>
      <c r="I417" s="587" t="s">
        <v>601</v>
      </c>
      <c r="J417" s="585">
        <v>2</v>
      </c>
      <c r="K417" s="585" t="s">
        <v>769</v>
      </c>
      <c r="L417" s="678">
        <v>348</v>
      </c>
      <c r="M417" s="649" t="s">
        <v>2533</v>
      </c>
      <c r="N417" s="679">
        <v>121.62599999999989</v>
      </c>
      <c r="O417" s="679">
        <v>243.24040000000008</v>
      </c>
      <c r="P417" s="589" t="s">
        <v>2534</v>
      </c>
      <c r="Q417" s="680">
        <v>336.67839999999967</v>
      </c>
      <c r="R417" s="696"/>
      <c r="S417" s="553"/>
      <c r="T417" s="553"/>
      <c r="U417" s="553"/>
      <c r="V417" s="553"/>
      <c r="W417" s="553"/>
      <c r="X417" s="553"/>
      <c r="Y417" s="553"/>
      <c r="Z417" s="553"/>
      <c r="AA417" s="553"/>
      <c r="AB417" s="554"/>
      <c r="AC417" s="555"/>
      <c r="AD417" s="556"/>
      <c r="AE417" s="556"/>
      <c r="AF417" s="556"/>
      <c r="AG417" s="556"/>
    </row>
    <row r="418" spans="1:33">
      <c r="A418" s="585">
        <v>404</v>
      </c>
      <c r="B418" s="587" t="s">
        <v>2774</v>
      </c>
      <c r="C418" s="585">
        <v>404</v>
      </c>
      <c r="D418" s="629" t="s">
        <v>2296</v>
      </c>
      <c r="E418" s="586" t="s">
        <v>276</v>
      </c>
      <c r="F418" s="675">
        <v>4.1784200000000001E-2</v>
      </c>
      <c r="G418" s="676">
        <v>3463.0023344000001</v>
      </c>
      <c r="H418" s="588">
        <v>487.2</v>
      </c>
      <c r="I418" s="587" t="s">
        <v>601</v>
      </c>
      <c r="J418" s="585">
        <v>2</v>
      </c>
      <c r="K418" s="585" t="s">
        <v>770</v>
      </c>
      <c r="L418" s="678">
        <v>348</v>
      </c>
      <c r="M418" s="649" t="s">
        <v>2533</v>
      </c>
      <c r="N418" s="679">
        <v>121.62599999999989</v>
      </c>
      <c r="O418" s="679">
        <v>243.24040000000008</v>
      </c>
      <c r="P418" s="589" t="s">
        <v>2534</v>
      </c>
      <c r="Q418" s="680">
        <v>336.67839999999967</v>
      </c>
      <c r="R418" s="696"/>
      <c r="S418" s="553"/>
      <c r="T418" s="553"/>
      <c r="U418" s="553"/>
      <c r="V418" s="553"/>
      <c r="W418" s="553"/>
      <c r="X418" s="553"/>
      <c r="Y418" s="553"/>
      <c r="Z418" s="553"/>
      <c r="AA418" s="553"/>
      <c r="AB418" s="554"/>
      <c r="AC418" s="555"/>
      <c r="AD418" s="556"/>
      <c r="AE418" s="556"/>
      <c r="AF418" s="556"/>
      <c r="AG418" s="556"/>
    </row>
    <row r="419" spans="1:33">
      <c r="A419" s="585">
        <v>405</v>
      </c>
      <c r="B419" s="587" t="s">
        <v>4498</v>
      </c>
      <c r="C419" s="585">
        <v>405</v>
      </c>
      <c r="D419" s="629" t="s">
        <v>2296</v>
      </c>
      <c r="E419" s="586" t="s">
        <v>4503</v>
      </c>
      <c r="F419" s="675">
        <v>2.8934000000000001E-2</v>
      </c>
      <c r="G419" s="676">
        <v>8154.31</v>
      </c>
      <c r="H419" s="588">
        <v>487.2</v>
      </c>
      <c r="I419" s="587" t="s">
        <v>3793</v>
      </c>
      <c r="J419" s="585">
        <v>3</v>
      </c>
      <c r="K419" s="585" t="s">
        <v>4508</v>
      </c>
      <c r="L419" s="678">
        <v>0</v>
      </c>
      <c r="M419" s="649" t="s">
        <v>2533</v>
      </c>
      <c r="N419" s="679">
        <v>330.29</v>
      </c>
      <c r="O419" s="679">
        <v>660.56</v>
      </c>
      <c r="P419" s="589" t="s">
        <v>2534</v>
      </c>
      <c r="Q419" s="680">
        <v>0</v>
      </c>
      <c r="R419" s="696"/>
      <c r="S419" s="553"/>
      <c r="T419" s="553"/>
      <c r="U419" s="553"/>
      <c r="V419" s="553"/>
      <c r="W419" s="553"/>
      <c r="X419" s="553"/>
      <c r="Y419" s="553"/>
      <c r="Z419" s="553"/>
      <c r="AA419" s="553"/>
      <c r="AB419" s="554"/>
      <c r="AC419" s="555"/>
      <c r="AD419" s="556"/>
      <c r="AE419" s="556"/>
      <c r="AF419" s="556"/>
      <c r="AG419" s="556"/>
    </row>
    <row r="420" spans="1:33">
      <c r="A420" s="585">
        <v>406</v>
      </c>
      <c r="B420" s="587" t="s">
        <v>2775</v>
      </c>
      <c r="C420" s="585">
        <v>406</v>
      </c>
      <c r="D420" s="629" t="s">
        <v>2296</v>
      </c>
      <c r="E420" s="586" t="s">
        <v>2479</v>
      </c>
      <c r="F420" s="675">
        <v>4.1784200000000001E-2</v>
      </c>
      <c r="G420" s="676">
        <v>3463.0023344000001</v>
      </c>
      <c r="H420" s="588">
        <v>487.2</v>
      </c>
      <c r="I420" s="587" t="s">
        <v>601</v>
      </c>
      <c r="J420" s="585">
        <v>2</v>
      </c>
      <c r="K420" s="585" t="s">
        <v>2480</v>
      </c>
      <c r="L420" s="678">
        <v>348</v>
      </c>
      <c r="M420" s="649" t="s">
        <v>2533</v>
      </c>
      <c r="N420" s="679">
        <v>121.62599999999989</v>
      </c>
      <c r="O420" s="679">
        <v>243.24040000000008</v>
      </c>
      <c r="P420" s="589" t="s">
        <v>2534</v>
      </c>
      <c r="Q420" s="680">
        <v>336.67839999999967</v>
      </c>
      <c r="R420" s="696"/>
      <c r="S420" s="553"/>
      <c r="T420" s="553"/>
      <c r="U420" s="553"/>
      <c r="V420" s="553"/>
      <c r="W420" s="553"/>
      <c r="X420" s="553"/>
      <c r="Y420" s="553"/>
      <c r="Z420" s="553"/>
      <c r="AA420" s="553"/>
      <c r="AB420" s="554"/>
      <c r="AC420" s="555"/>
      <c r="AD420" s="556"/>
      <c r="AE420" s="556"/>
      <c r="AF420" s="556"/>
      <c r="AG420" s="556"/>
    </row>
    <row r="421" spans="1:33">
      <c r="A421" s="585">
        <v>407</v>
      </c>
      <c r="B421" s="587" t="s">
        <v>2776</v>
      </c>
      <c r="C421" s="585">
        <v>407</v>
      </c>
      <c r="D421" s="629" t="s">
        <v>2297</v>
      </c>
      <c r="E421" s="586" t="s">
        <v>277</v>
      </c>
      <c r="F421" s="675">
        <v>4.8639700000000001E-2</v>
      </c>
      <c r="G421" s="676">
        <v>3463.0023344000001</v>
      </c>
      <c r="H421" s="588">
        <v>487.2</v>
      </c>
      <c r="I421" s="587" t="s">
        <v>601</v>
      </c>
      <c r="J421" s="585">
        <v>2</v>
      </c>
      <c r="K421" s="585" t="s">
        <v>771</v>
      </c>
      <c r="L421" s="678">
        <v>348</v>
      </c>
      <c r="M421" s="649" t="s">
        <v>2533</v>
      </c>
      <c r="N421" s="679">
        <v>121.62599999999989</v>
      </c>
      <c r="O421" s="679">
        <v>243.24040000000008</v>
      </c>
      <c r="P421" s="589" t="s">
        <v>2534</v>
      </c>
      <c r="Q421" s="680">
        <v>336.67839999999967</v>
      </c>
      <c r="R421" s="696"/>
      <c r="S421" s="553"/>
      <c r="T421" s="553"/>
      <c r="U421" s="553"/>
      <c r="V421" s="553"/>
      <c r="W421" s="553"/>
      <c r="X421" s="553"/>
      <c r="Y421" s="553"/>
      <c r="Z421" s="553"/>
      <c r="AA421" s="553"/>
      <c r="AB421" s="554"/>
      <c r="AC421" s="555"/>
      <c r="AD421" s="556"/>
      <c r="AE421" s="556"/>
      <c r="AF421" s="556"/>
      <c r="AG421" s="556"/>
    </row>
    <row r="422" spans="1:33">
      <c r="A422" s="585">
        <v>408</v>
      </c>
      <c r="B422" s="587" t="s">
        <v>2777</v>
      </c>
      <c r="C422" s="585">
        <v>408</v>
      </c>
      <c r="D422" s="629" t="s">
        <v>2297</v>
      </c>
      <c r="E422" s="586" t="s">
        <v>278</v>
      </c>
      <c r="F422" s="675">
        <v>5.0458100000000006E-2</v>
      </c>
      <c r="G422" s="676">
        <v>3463.0023344000001</v>
      </c>
      <c r="H422" s="588">
        <v>487.2</v>
      </c>
      <c r="I422" s="587" t="s">
        <v>601</v>
      </c>
      <c r="J422" s="585">
        <v>2</v>
      </c>
      <c r="K422" s="585" t="s">
        <v>772</v>
      </c>
      <c r="L422" s="678">
        <v>348</v>
      </c>
      <c r="M422" s="649" t="s">
        <v>2533</v>
      </c>
      <c r="N422" s="679">
        <v>121.62599999999989</v>
      </c>
      <c r="O422" s="679">
        <v>243.24040000000008</v>
      </c>
      <c r="P422" s="589" t="s">
        <v>2534</v>
      </c>
      <c r="Q422" s="680">
        <v>336.67839999999967</v>
      </c>
      <c r="R422" s="696"/>
      <c r="S422" s="553"/>
      <c r="T422" s="553"/>
      <c r="U422" s="553"/>
      <c r="V422" s="553"/>
      <c r="W422" s="553"/>
      <c r="X422" s="553"/>
      <c r="Y422" s="553"/>
      <c r="Z422" s="553"/>
      <c r="AA422" s="553"/>
      <c r="AB422" s="554"/>
      <c r="AC422" s="555"/>
      <c r="AD422" s="556"/>
      <c r="AE422" s="556"/>
      <c r="AF422" s="556"/>
      <c r="AG422" s="556"/>
    </row>
    <row r="423" spans="1:33">
      <c r="A423" s="585">
        <v>409</v>
      </c>
      <c r="B423" s="587" t="s">
        <v>2778</v>
      </c>
      <c r="C423" s="585">
        <v>409</v>
      </c>
      <c r="D423" s="629" t="s">
        <v>2297</v>
      </c>
      <c r="E423" s="586" t="s">
        <v>279</v>
      </c>
      <c r="F423" s="675">
        <v>5.0458100000000006E-2</v>
      </c>
      <c r="G423" s="676">
        <v>3463.0023344000001</v>
      </c>
      <c r="H423" s="588">
        <v>487.2</v>
      </c>
      <c r="I423" s="587" t="s">
        <v>601</v>
      </c>
      <c r="J423" s="585">
        <v>2</v>
      </c>
      <c r="K423" s="585" t="s">
        <v>773</v>
      </c>
      <c r="L423" s="678">
        <v>348</v>
      </c>
      <c r="M423" s="649" t="s">
        <v>2533</v>
      </c>
      <c r="N423" s="679">
        <v>121.62599999999989</v>
      </c>
      <c r="O423" s="679">
        <v>243.24040000000008</v>
      </c>
      <c r="P423" s="589" t="s">
        <v>2534</v>
      </c>
      <c r="Q423" s="680">
        <v>336.67839999999967</v>
      </c>
      <c r="R423" s="696"/>
      <c r="S423" s="553"/>
      <c r="T423" s="553"/>
      <c r="U423" s="553"/>
      <c r="V423" s="553"/>
      <c r="W423" s="553"/>
      <c r="X423" s="553"/>
      <c r="Y423" s="553"/>
      <c r="Z423" s="553"/>
      <c r="AA423" s="553"/>
      <c r="AB423" s="554"/>
      <c r="AC423" s="555"/>
      <c r="AD423" s="556"/>
      <c r="AE423" s="556"/>
      <c r="AF423" s="556"/>
      <c r="AG423" s="556"/>
    </row>
    <row r="424" spans="1:33">
      <c r="A424" s="585">
        <v>410</v>
      </c>
      <c r="B424" s="587" t="s">
        <v>2779</v>
      </c>
      <c r="C424" s="585">
        <v>410</v>
      </c>
      <c r="D424" s="629" t="s">
        <v>2297</v>
      </c>
      <c r="E424" s="586" t="s">
        <v>2481</v>
      </c>
      <c r="F424" s="675">
        <v>5.0458100000000006E-2</v>
      </c>
      <c r="G424" s="676">
        <v>3463.0023344000001</v>
      </c>
      <c r="H424" s="588">
        <v>487.2</v>
      </c>
      <c r="I424" s="587" t="s">
        <v>601</v>
      </c>
      <c r="J424" s="585">
        <v>2</v>
      </c>
      <c r="K424" s="585" t="s">
        <v>2482</v>
      </c>
      <c r="L424" s="678">
        <v>348</v>
      </c>
      <c r="M424" s="649" t="s">
        <v>2533</v>
      </c>
      <c r="N424" s="679">
        <v>121.62599999999989</v>
      </c>
      <c r="O424" s="679">
        <v>243.24040000000008</v>
      </c>
      <c r="P424" s="589" t="s">
        <v>2534</v>
      </c>
      <c r="Q424" s="680">
        <v>336.67839999999967</v>
      </c>
      <c r="R424" s="696"/>
      <c r="S424" s="553"/>
      <c r="T424" s="553"/>
      <c r="U424" s="553"/>
      <c r="V424" s="553"/>
      <c r="W424" s="553"/>
      <c r="X424" s="553"/>
      <c r="Y424" s="553"/>
      <c r="Z424" s="553"/>
      <c r="AA424" s="553"/>
      <c r="AB424" s="554"/>
      <c r="AC424" s="555"/>
      <c r="AD424" s="556"/>
      <c r="AE424" s="556"/>
      <c r="AF424" s="556"/>
      <c r="AG424" s="556"/>
    </row>
    <row r="425" spans="1:33">
      <c r="A425" s="585">
        <v>411</v>
      </c>
      <c r="B425" s="587" t="s">
        <v>2780</v>
      </c>
      <c r="C425" s="585">
        <v>411</v>
      </c>
      <c r="D425" s="629" t="s">
        <v>2297</v>
      </c>
      <c r="E425" s="586" t="s">
        <v>280</v>
      </c>
      <c r="F425" s="675">
        <v>5.0458100000000006E-2</v>
      </c>
      <c r="G425" s="676">
        <v>3463.0023344000001</v>
      </c>
      <c r="H425" s="588">
        <v>487.2</v>
      </c>
      <c r="I425" s="587" t="s">
        <v>601</v>
      </c>
      <c r="J425" s="585">
        <v>2</v>
      </c>
      <c r="K425" s="585" t="s">
        <v>774</v>
      </c>
      <c r="L425" s="678">
        <v>348</v>
      </c>
      <c r="M425" s="649" t="s">
        <v>2533</v>
      </c>
      <c r="N425" s="679">
        <v>121.62599999999989</v>
      </c>
      <c r="O425" s="679">
        <v>243.24040000000008</v>
      </c>
      <c r="P425" s="589" t="s">
        <v>2534</v>
      </c>
      <c r="Q425" s="680">
        <v>336.67839999999967</v>
      </c>
      <c r="R425" s="696"/>
      <c r="S425" s="553"/>
      <c r="T425" s="553"/>
      <c r="U425" s="553"/>
      <c r="V425" s="553"/>
      <c r="W425" s="553"/>
      <c r="X425" s="553"/>
      <c r="Y425" s="553"/>
      <c r="Z425" s="553"/>
      <c r="AA425" s="553"/>
      <c r="AB425" s="554"/>
      <c r="AC425" s="555"/>
      <c r="AD425" s="556"/>
      <c r="AE425" s="556"/>
      <c r="AF425" s="556"/>
      <c r="AG425" s="556"/>
    </row>
    <row r="426" spans="1:33">
      <c r="A426" s="585">
        <v>412</v>
      </c>
      <c r="B426" s="587" t="s">
        <v>2781</v>
      </c>
      <c r="C426" s="585">
        <v>412</v>
      </c>
      <c r="D426" s="629" t="s">
        <v>2298</v>
      </c>
      <c r="E426" s="586" t="s">
        <v>2298</v>
      </c>
      <c r="F426" s="675">
        <v>3.13371E-2</v>
      </c>
      <c r="G426" s="676">
        <v>2538.48</v>
      </c>
      <c r="H426" s="588">
        <v>487.2</v>
      </c>
      <c r="I426" s="587" t="s">
        <v>549</v>
      </c>
      <c r="J426" s="585">
        <v>1</v>
      </c>
      <c r="K426" s="585" t="s">
        <v>775</v>
      </c>
      <c r="L426" s="678">
        <v>348</v>
      </c>
      <c r="M426" s="649" t="s">
        <v>2533</v>
      </c>
      <c r="N426" s="679">
        <v>67.071199999999919</v>
      </c>
      <c r="O426" s="679">
        <v>134.15400000000011</v>
      </c>
      <c r="P426" s="589" t="s">
        <v>2534</v>
      </c>
      <c r="Q426" s="680">
        <v>336.67839999999967</v>
      </c>
      <c r="R426" s="696"/>
      <c r="S426" s="553"/>
      <c r="T426" s="553"/>
      <c r="U426" s="553"/>
      <c r="V426" s="553"/>
      <c r="W426" s="553"/>
      <c r="X426" s="553"/>
      <c r="Y426" s="553"/>
      <c r="Z426" s="553"/>
      <c r="AA426" s="553"/>
      <c r="AB426" s="554"/>
      <c r="AC426" s="555"/>
      <c r="AD426" s="556"/>
      <c r="AE426" s="556"/>
      <c r="AF426" s="556"/>
      <c r="AG426" s="556"/>
    </row>
    <row r="427" spans="1:33">
      <c r="A427" s="585">
        <v>413</v>
      </c>
      <c r="B427" s="587" t="s">
        <v>4336</v>
      </c>
      <c r="C427" s="585">
        <v>413</v>
      </c>
      <c r="D427" s="629" t="s">
        <v>4337</v>
      </c>
      <c r="E427" s="586" t="s">
        <v>4338</v>
      </c>
      <c r="F427" s="675">
        <v>2.8934000000000001E-2</v>
      </c>
      <c r="G427" s="676">
        <v>8154.31</v>
      </c>
      <c r="H427" s="588">
        <v>487.2</v>
      </c>
      <c r="I427" s="587" t="s">
        <v>3793</v>
      </c>
      <c r="J427" s="585">
        <v>3</v>
      </c>
      <c r="K427" s="585" t="s">
        <v>4339</v>
      </c>
      <c r="L427" s="678">
        <v>0</v>
      </c>
      <c r="M427" s="649" t="s">
        <v>2533</v>
      </c>
      <c r="N427" s="679">
        <v>330.29</v>
      </c>
      <c r="O427" s="679">
        <v>660.56</v>
      </c>
      <c r="P427" s="589" t="s">
        <v>2534</v>
      </c>
      <c r="Q427" s="680">
        <v>0</v>
      </c>
      <c r="R427" s="696"/>
      <c r="S427" s="553"/>
      <c r="T427" s="553"/>
      <c r="U427" s="553"/>
      <c r="V427" s="553"/>
      <c r="W427" s="553"/>
      <c r="X427" s="553"/>
      <c r="Y427" s="553"/>
      <c r="Z427" s="553"/>
      <c r="AA427" s="553"/>
      <c r="AB427" s="554"/>
      <c r="AC427" s="555"/>
      <c r="AD427" s="556"/>
      <c r="AE427" s="556"/>
      <c r="AF427" s="556"/>
      <c r="AG427" s="556"/>
    </row>
    <row r="428" spans="1:33">
      <c r="A428" s="585">
        <v>414</v>
      </c>
      <c r="B428" s="587" t="s">
        <v>5064</v>
      </c>
      <c r="C428" s="585">
        <v>414</v>
      </c>
      <c r="D428" s="629" t="s">
        <v>4337</v>
      </c>
      <c r="E428" s="586" t="s">
        <v>5072</v>
      </c>
      <c r="F428" s="675">
        <v>4.9454999999999999E-2</v>
      </c>
      <c r="G428" s="676">
        <v>11870.23</v>
      </c>
      <c r="H428" s="588">
        <v>487.2</v>
      </c>
      <c r="I428" s="587" t="s">
        <v>3793</v>
      </c>
      <c r="J428" s="585">
        <v>3</v>
      </c>
      <c r="K428" s="585" t="s">
        <v>4573</v>
      </c>
      <c r="L428" s="678">
        <v>0</v>
      </c>
      <c r="M428" s="649" t="s">
        <v>2533</v>
      </c>
      <c r="N428" s="679">
        <v>415.31500000000051</v>
      </c>
      <c r="O428" s="679">
        <v>830.63000000000102</v>
      </c>
      <c r="P428" s="589" t="s">
        <v>2534</v>
      </c>
      <c r="Q428" s="680">
        <v>0</v>
      </c>
      <c r="R428" s="696"/>
      <c r="S428" s="553"/>
      <c r="T428" s="553"/>
      <c r="U428" s="553"/>
      <c r="V428" s="553"/>
      <c r="W428" s="553"/>
      <c r="X428" s="553"/>
      <c r="Y428" s="553"/>
      <c r="Z428" s="553"/>
      <c r="AA428" s="553"/>
      <c r="AB428" s="554"/>
      <c r="AC428" s="555"/>
      <c r="AD428" s="556"/>
      <c r="AE428" s="556"/>
      <c r="AF428" s="556"/>
      <c r="AG428" s="556"/>
    </row>
    <row r="429" spans="1:33">
      <c r="A429" s="585">
        <v>415</v>
      </c>
      <c r="B429" s="587" t="s">
        <v>10421</v>
      </c>
      <c r="C429" s="585">
        <v>415</v>
      </c>
      <c r="D429" s="629" t="s">
        <v>4337</v>
      </c>
      <c r="E429" s="586" t="s">
        <v>10455</v>
      </c>
      <c r="F429" s="675">
        <v>4.9454999999999999E-2</v>
      </c>
      <c r="G429" s="676">
        <v>11870.233599999998</v>
      </c>
      <c r="H429" s="588">
        <v>487.2</v>
      </c>
      <c r="I429" s="587" t="s">
        <v>3793</v>
      </c>
      <c r="J429" s="585">
        <v>3</v>
      </c>
      <c r="K429" s="585" t="s">
        <v>10486</v>
      </c>
      <c r="L429" s="678">
        <v>0</v>
      </c>
      <c r="M429" s="649" t="s">
        <v>2533</v>
      </c>
      <c r="N429" s="679">
        <v>481.77120000000002</v>
      </c>
      <c r="O429" s="679">
        <v>963.5308</v>
      </c>
      <c r="P429" s="589" t="s">
        <v>2534</v>
      </c>
      <c r="Q429" s="680">
        <v>0</v>
      </c>
      <c r="R429" s="696"/>
      <c r="S429" s="553"/>
      <c r="T429" s="553"/>
      <c r="U429" s="553"/>
      <c r="V429" s="553"/>
      <c r="W429" s="553"/>
      <c r="X429" s="553"/>
      <c r="Y429" s="553"/>
      <c r="Z429" s="553"/>
      <c r="AA429" s="553"/>
      <c r="AB429" s="554"/>
      <c r="AC429" s="555"/>
      <c r="AD429" s="556"/>
      <c r="AE429" s="556"/>
      <c r="AF429" s="556"/>
      <c r="AG429" s="556"/>
    </row>
    <row r="430" spans="1:33">
      <c r="A430" s="585">
        <v>416</v>
      </c>
      <c r="B430" s="587" t="s">
        <v>5065</v>
      </c>
      <c r="C430" s="585">
        <v>416</v>
      </c>
      <c r="D430" s="629" t="s">
        <v>4337</v>
      </c>
      <c r="E430" s="586" t="s">
        <v>5069</v>
      </c>
      <c r="F430" s="675">
        <v>4.9454999999999999E-2</v>
      </c>
      <c r="G430" s="676">
        <v>11870.23</v>
      </c>
      <c r="H430" s="588">
        <v>487.2</v>
      </c>
      <c r="I430" s="587" t="s">
        <v>3793</v>
      </c>
      <c r="J430" s="585">
        <v>3</v>
      </c>
      <c r="K430" s="585" t="s">
        <v>4574</v>
      </c>
      <c r="L430" s="678">
        <v>0</v>
      </c>
      <c r="M430" s="649" t="s">
        <v>2533</v>
      </c>
      <c r="N430" s="679">
        <v>415.31500000000051</v>
      </c>
      <c r="O430" s="679">
        <v>830.63000000000102</v>
      </c>
      <c r="P430" s="589" t="s">
        <v>2534</v>
      </c>
      <c r="Q430" s="680">
        <v>0</v>
      </c>
      <c r="R430" s="696"/>
      <c r="S430" s="553"/>
      <c r="T430" s="553"/>
      <c r="U430" s="553"/>
      <c r="V430" s="553"/>
      <c r="W430" s="553"/>
      <c r="X430" s="553"/>
      <c r="Y430" s="553"/>
      <c r="Z430" s="553"/>
      <c r="AA430" s="553"/>
      <c r="AB430" s="554"/>
      <c r="AC430" s="555"/>
      <c r="AD430" s="556"/>
      <c r="AE430" s="556"/>
      <c r="AF430" s="556"/>
      <c r="AG430" s="556"/>
    </row>
    <row r="431" spans="1:33">
      <c r="A431" s="585">
        <v>417</v>
      </c>
      <c r="B431" s="587" t="s">
        <v>10387</v>
      </c>
      <c r="C431" s="585">
        <v>417</v>
      </c>
      <c r="D431" s="629" t="s">
        <v>10382</v>
      </c>
      <c r="E431" s="586" t="s">
        <v>10384</v>
      </c>
      <c r="F431" s="675">
        <v>4.0341000000000002E-2</v>
      </c>
      <c r="G431" s="676">
        <v>2538.48</v>
      </c>
      <c r="H431" s="588">
        <v>487.2</v>
      </c>
      <c r="I431" s="587" t="s">
        <v>549</v>
      </c>
      <c r="J431" s="585">
        <v>1</v>
      </c>
      <c r="K431" s="585" t="s">
        <v>10390</v>
      </c>
      <c r="L431" s="678">
        <v>348</v>
      </c>
      <c r="M431" s="649" t="s">
        <v>2533</v>
      </c>
      <c r="N431" s="679">
        <v>67.071199999999919</v>
      </c>
      <c r="O431" s="679">
        <v>134.15400000000011</v>
      </c>
      <c r="P431" s="589" t="s">
        <v>2534</v>
      </c>
      <c r="Q431" s="680">
        <v>336.67839999999967</v>
      </c>
      <c r="R431" s="696"/>
      <c r="S431" s="553"/>
      <c r="T431" s="553"/>
      <c r="U431" s="553"/>
      <c r="V431" s="553"/>
      <c r="W431" s="553"/>
      <c r="X431" s="553"/>
      <c r="Y431" s="553"/>
      <c r="Z431" s="553"/>
      <c r="AA431" s="553"/>
      <c r="AB431" s="554"/>
      <c r="AC431" s="555"/>
      <c r="AD431" s="556"/>
      <c r="AE431" s="556"/>
      <c r="AF431" s="556"/>
      <c r="AG431" s="556"/>
    </row>
    <row r="432" spans="1:33">
      <c r="A432" s="585">
        <v>418</v>
      </c>
      <c r="B432" s="587" t="s">
        <v>10386</v>
      </c>
      <c r="C432" s="585">
        <v>418</v>
      </c>
      <c r="D432" s="629" t="s">
        <v>10382</v>
      </c>
      <c r="E432" s="586" t="s">
        <v>10383</v>
      </c>
      <c r="F432" s="675">
        <v>3.7824000000000003E-2</v>
      </c>
      <c r="G432" s="676">
        <v>2538.48</v>
      </c>
      <c r="H432" s="588">
        <v>487.2</v>
      </c>
      <c r="I432" s="587" t="s">
        <v>549</v>
      </c>
      <c r="J432" s="585">
        <v>1</v>
      </c>
      <c r="K432" s="585" t="s">
        <v>10389</v>
      </c>
      <c r="L432" s="678">
        <v>348</v>
      </c>
      <c r="M432" s="649" t="s">
        <v>2533</v>
      </c>
      <c r="N432" s="679">
        <v>67.071199999999919</v>
      </c>
      <c r="O432" s="679">
        <v>134.15400000000011</v>
      </c>
      <c r="P432" s="589" t="s">
        <v>2534</v>
      </c>
      <c r="Q432" s="680">
        <v>336.67839999999967</v>
      </c>
      <c r="R432" s="696"/>
      <c r="S432" s="553"/>
      <c r="T432" s="553"/>
      <c r="U432" s="553"/>
      <c r="V432" s="553"/>
      <c r="W432" s="553"/>
      <c r="X432" s="553"/>
      <c r="Y432" s="553"/>
      <c r="Z432" s="553"/>
      <c r="AA432" s="553"/>
      <c r="AB432" s="554"/>
      <c r="AC432" s="555"/>
      <c r="AD432" s="556"/>
      <c r="AE432" s="556"/>
      <c r="AF432" s="556"/>
      <c r="AG432" s="556"/>
    </row>
    <row r="433" spans="1:33">
      <c r="A433" s="585">
        <v>419</v>
      </c>
      <c r="B433" s="587" t="s">
        <v>10388</v>
      </c>
      <c r="C433" s="585">
        <v>419</v>
      </c>
      <c r="D433" s="629" t="s">
        <v>10382</v>
      </c>
      <c r="E433" s="586" t="s">
        <v>10385</v>
      </c>
      <c r="F433" s="675">
        <v>2.8972000000000001E-2</v>
      </c>
      <c r="G433" s="676">
        <v>2538.48</v>
      </c>
      <c r="H433" s="588">
        <v>487.2</v>
      </c>
      <c r="I433" s="587" t="s">
        <v>549</v>
      </c>
      <c r="J433" s="585">
        <v>1</v>
      </c>
      <c r="K433" s="585" t="s">
        <v>10391</v>
      </c>
      <c r="L433" s="678">
        <v>348</v>
      </c>
      <c r="M433" s="649" t="s">
        <v>2533</v>
      </c>
      <c r="N433" s="679">
        <v>67.071199999999919</v>
      </c>
      <c r="O433" s="679">
        <v>134.15400000000011</v>
      </c>
      <c r="P433" s="589" t="s">
        <v>2534</v>
      </c>
      <c r="Q433" s="680">
        <v>336.67839999999967</v>
      </c>
      <c r="R433" s="696"/>
      <c r="S433" s="553"/>
      <c r="T433" s="553"/>
      <c r="U433" s="553"/>
      <c r="V433" s="553"/>
      <c r="W433" s="553"/>
      <c r="X433" s="553"/>
      <c r="Y433" s="553"/>
      <c r="Z433" s="553"/>
      <c r="AA433" s="553"/>
      <c r="AB433" s="554"/>
      <c r="AC433" s="555"/>
      <c r="AD433" s="556"/>
      <c r="AE433" s="556"/>
      <c r="AF433" s="556"/>
      <c r="AG433" s="556"/>
    </row>
    <row r="434" spans="1:33">
      <c r="A434" s="585">
        <v>420</v>
      </c>
      <c r="B434" s="587" t="s">
        <v>3348</v>
      </c>
      <c r="C434" s="585">
        <v>420</v>
      </c>
      <c r="D434" s="629" t="s">
        <v>2299</v>
      </c>
      <c r="E434" s="586" t="s">
        <v>3359</v>
      </c>
      <c r="F434" s="675">
        <v>4.5221600000000001E-2</v>
      </c>
      <c r="G434" s="676">
        <v>2538.48</v>
      </c>
      <c r="H434" s="588">
        <v>487.2</v>
      </c>
      <c r="I434" s="587" t="s">
        <v>549</v>
      </c>
      <c r="J434" s="585">
        <v>1</v>
      </c>
      <c r="K434" s="585" t="s">
        <v>3370</v>
      </c>
      <c r="L434" s="678">
        <v>348</v>
      </c>
      <c r="M434" s="649" t="s">
        <v>2533</v>
      </c>
      <c r="N434" s="679">
        <v>67.071199999999919</v>
      </c>
      <c r="O434" s="679">
        <v>134.15400000000011</v>
      </c>
      <c r="P434" s="589" t="s">
        <v>2534</v>
      </c>
      <c r="Q434" s="680">
        <v>336.67839999999967</v>
      </c>
      <c r="R434" s="696"/>
      <c r="S434" s="553"/>
      <c r="T434" s="553"/>
      <c r="U434" s="553"/>
      <c r="V434" s="553"/>
      <c r="W434" s="553"/>
      <c r="X434" s="553"/>
      <c r="Y434" s="553"/>
      <c r="Z434" s="553"/>
      <c r="AA434" s="553"/>
      <c r="AB434" s="554"/>
      <c r="AC434" s="555"/>
      <c r="AD434" s="556"/>
      <c r="AE434" s="556"/>
      <c r="AF434" s="556"/>
      <c r="AG434" s="556"/>
    </row>
    <row r="435" spans="1:33">
      <c r="A435" s="585">
        <v>421</v>
      </c>
      <c r="B435" s="587" t="s">
        <v>2782</v>
      </c>
      <c r="C435" s="585">
        <v>421</v>
      </c>
      <c r="D435" s="629" t="s">
        <v>2299</v>
      </c>
      <c r="E435" s="586" t="s">
        <v>2299</v>
      </c>
      <c r="F435" s="675">
        <v>4.5221600000000001E-2</v>
      </c>
      <c r="G435" s="676">
        <v>2538.48</v>
      </c>
      <c r="H435" s="588">
        <v>487.2</v>
      </c>
      <c r="I435" s="587" t="s">
        <v>549</v>
      </c>
      <c r="J435" s="585">
        <v>1</v>
      </c>
      <c r="K435" s="585" t="s">
        <v>776</v>
      </c>
      <c r="L435" s="678">
        <v>348</v>
      </c>
      <c r="M435" s="649" t="s">
        <v>2533</v>
      </c>
      <c r="N435" s="679">
        <v>67.071199999999919</v>
      </c>
      <c r="O435" s="679">
        <v>134.15400000000011</v>
      </c>
      <c r="P435" s="589" t="s">
        <v>2534</v>
      </c>
      <c r="Q435" s="680">
        <v>336.67839999999967</v>
      </c>
      <c r="R435" s="696"/>
      <c r="S435" s="553"/>
      <c r="T435" s="553"/>
      <c r="U435" s="553"/>
      <c r="V435" s="553"/>
      <c r="W435" s="553"/>
      <c r="X435" s="553"/>
      <c r="Y435" s="553"/>
      <c r="Z435" s="553"/>
      <c r="AA435" s="553"/>
      <c r="AB435" s="554"/>
      <c r="AC435" s="555"/>
      <c r="AD435" s="556"/>
      <c r="AE435" s="556"/>
      <c r="AF435" s="556"/>
      <c r="AG435" s="556"/>
    </row>
    <row r="436" spans="1:33">
      <c r="A436" s="585">
        <v>422</v>
      </c>
      <c r="B436" s="587" t="s">
        <v>10394</v>
      </c>
      <c r="C436" s="585">
        <v>422</v>
      </c>
      <c r="D436" s="629" t="s">
        <v>2299</v>
      </c>
      <c r="E436" s="586" t="s">
        <v>281</v>
      </c>
      <c r="F436" s="675">
        <v>4.5221600000000001E-2</v>
      </c>
      <c r="G436" s="676">
        <v>2538.48</v>
      </c>
      <c r="H436" s="588">
        <v>487.2</v>
      </c>
      <c r="I436" s="587" t="s">
        <v>549</v>
      </c>
      <c r="J436" s="585">
        <v>1</v>
      </c>
      <c r="K436" s="585" t="s">
        <v>777</v>
      </c>
      <c r="L436" s="678">
        <v>348</v>
      </c>
      <c r="M436" s="649" t="s">
        <v>2533</v>
      </c>
      <c r="N436" s="679">
        <v>67.071199999999919</v>
      </c>
      <c r="O436" s="679">
        <v>134.15400000000011</v>
      </c>
      <c r="P436" s="589" t="s">
        <v>2534</v>
      </c>
      <c r="Q436" s="680">
        <v>336.67839999999967</v>
      </c>
      <c r="R436" s="696"/>
      <c r="S436" s="553"/>
      <c r="T436" s="553"/>
      <c r="U436" s="553"/>
      <c r="V436" s="553"/>
      <c r="W436" s="553"/>
      <c r="X436" s="553"/>
      <c r="Y436" s="553"/>
      <c r="Z436" s="553"/>
      <c r="AA436" s="553"/>
      <c r="AB436" s="554"/>
      <c r="AC436" s="555"/>
      <c r="AD436" s="556"/>
      <c r="AE436" s="556"/>
      <c r="AF436" s="556"/>
      <c r="AG436" s="556"/>
    </row>
    <row r="437" spans="1:33">
      <c r="A437" s="585">
        <v>423</v>
      </c>
      <c r="B437" s="587" t="s">
        <v>4456</v>
      </c>
      <c r="C437" s="585">
        <v>423</v>
      </c>
      <c r="D437" s="629" t="s">
        <v>2299</v>
      </c>
      <c r="E437" s="586" t="s">
        <v>4459</v>
      </c>
      <c r="F437" s="675">
        <v>4.5221600000000001E-2</v>
      </c>
      <c r="G437" s="676">
        <v>2538.48</v>
      </c>
      <c r="H437" s="588">
        <v>487.2</v>
      </c>
      <c r="I437" s="587" t="s">
        <v>549</v>
      </c>
      <c r="J437" s="585">
        <v>1</v>
      </c>
      <c r="K437" s="585" t="s">
        <v>4462</v>
      </c>
      <c r="L437" s="678">
        <v>348</v>
      </c>
      <c r="M437" s="649" t="s">
        <v>2533</v>
      </c>
      <c r="N437" s="679">
        <v>67.071199999999919</v>
      </c>
      <c r="O437" s="679">
        <v>134.15400000000011</v>
      </c>
      <c r="P437" s="589" t="s">
        <v>2534</v>
      </c>
      <c r="Q437" s="680">
        <v>336.67839999999967</v>
      </c>
      <c r="R437" s="696"/>
      <c r="S437" s="553"/>
      <c r="T437" s="553"/>
      <c r="U437" s="553"/>
      <c r="V437" s="553"/>
      <c r="W437" s="553"/>
      <c r="X437" s="553"/>
      <c r="Y437" s="553"/>
      <c r="Z437" s="553"/>
      <c r="AA437" s="553"/>
      <c r="AB437" s="554"/>
      <c r="AC437" s="555"/>
      <c r="AD437" s="556"/>
      <c r="AE437" s="556"/>
      <c r="AF437" s="556"/>
      <c r="AG437" s="556"/>
    </row>
    <row r="438" spans="1:33">
      <c r="A438" s="585">
        <v>424</v>
      </c>
      <c r="B438" s="587" t="s">
        <v>3396</v>
      </c>
      <c r="C438" s="585">
        <v>424</v>
      </c>
      <c r="D438" s="629" t="s">
        <v>3409</v>
      </c>
      <c r="E438" s="586" t="s">
        <v>3423</v>
      </c>
      <c r="F438" s="675">
        <v>5.3744899999999998E-2</v>
      </c>
      <c r="G438" s="676">
        <v>2538.48</v>
      </c>
      <c r="H438" s="588">
        <v>487.2</v>
      </c>
      <c r="I438" s="587" t="s">
        <v>549</v>
      </c>
      <c r="J438" s="585">
        <v>1</v>
      </c>
      <c r="K438" s="585" t="s">
        <v>3477</v>
      </c>
      <c r="L438" s="678">
        <v>348</v>
      </c>
      <c r="M438" s="649" t="s">
        <v>2533</v>
      </c>
      <c r="N438" s="679">
        <v>67.071199999999919</v>
      </c>
      <c r="O438" s="679">
        <v>134.15400000000011</v>
      </c>
      <c r="P438" s="589" t="s">
        <v>2534</v>
      </c>
      <c r="Q438" s="680">
        <v>336.67839999999967</v>
      </c>
      <c r="R438" s="696"/>
      <c r="S438" s="553"/>
      <c r="T438" s="553"/>
      <c r="U438" s="553"/>
      <c r="V438" s="553"/>
      <c r="W438" s="553"/>
      <c r="X438" s="553"/>
      <c r="Y438" s="553"/>
      <c r="Z438" s="553"/>
      <c r="AA438" s="553"/>
      <c r="AB438" s="554"/>
      <c r="AC438" s="555"/>
      <c r="AD438" s="556"/>
      <c r="AE438" s="556"/>
      <c r="AF438" s="556"/>
      <c r="AG438" s="556"/>
    </row>
    <row r="439" spans="1:33">
      <c r="A439" s="585">
        <v>425</v>
      </c>
      <c r="B439" s="587" t="s">
        <v>3397</v>
      </c>
      <c r="C439" s="585">
        <v>425</v>
      </c>
      <c r="D439" s="629" t="s">
        <v>3409</v>
      </c>
      <c r="E439" s="586" t="s">
        <v>3424</v>
      </c>
      <c r="F439" s="675">
        <v>5.6226599999999995E-2</v>
      </c>
      <c r="G439" s="676">
        <v>2538.48</v>
      </c>
      <c r="H439" s="588">
        <v>487.2</v>
      </c>
      <c r="I439" s="587" t="s">
        <v>549</v>
      </c>
      <c r="J439" s="585">
        <v>1</v>
      </c>
      <c r="K439" s="585" t="s">
        <v>3478</v>
      </c>
      <c r="L439" s="678">
        <v>348</v>
      </c>
      <c r="M439" s="649" t="s">
        <v>2533</v>
      </c>
      <c r="N439" s="679">
        <v>67.071199999999919</v>
      </c>
      <c r="O439" s="679">
        <v>134.15400000000011</v>
      </c>
      <c r="P439" s="589" t="s">
        <v>2534</v>
      </c>
      <c r="Q439" s="680">
        <v>336.67839999999967</v>
      </c>
      <c r="R439" s="696"/>
      <c r="S439" s="553"/>
      <c r="T439" s="553"/>
      <c r="U439" s="553"/>
      <c r="V439" s="553"/>
      <c r="W439" s="553"/>
      <c r="X439" s="553"/>
      <c r="Y439" s="553"/>
      <c r="Z439" s="553"/>
      <c r="AA439" s="553"/>
      <c r="AB439" s="554"/>
      <c r="AC439" s="555"/>
      <c r="AD439" s="556"/>
      <c r="AE439" s="556"/>
      <c r="AF439" s="556"/>
      <c r="AG439" s="556"/>
    </row>
    <row r="440" spans="1:33">
      <c r="A440" s="585">
        <v>426</v>
      </c>
      <c r="B440" s="587" t="s">
        <v>3395</v>
      </c>
      <c r="C440" s="585">
        <v>426</v>
      </c>
      <c r="D440" s="629" t="s">
        <v>3409</v>
      </c>
      <c r="E440" s="586" t="s">
        <v>3409</v>
      </c>
      <c r="F440" s="675">
        <v>4.60186E-2</v>
      </c>
      <c r="G440" s="676">
        <v>2538.48</v>
      </c>
      <c r="H440" s="588">
        <v>487.2</v>
      </c>
      <c r="I440" s="587" t="s">
        <v>549</v>
      </c>
      <c r="J440" s="585">
        <v>1</v>
      </c>
      <c r="K440" s="585" t="s">
        <v>3476</v>
      </c>
      <c r="L440" s="678">
        <v>348</v>
      </c>
      <c r="M440" s="649" t="s">
        <v>2533</v>
      </c>
      <c r="N440" s="679">
        <v>67.071199999999919</v>
      </c>
      <c r="O440" s="679">
        <v>134.15400000000011</v>
      </c>
      <c r="P440" s="589" t="s">
        <v>2534</v>
      </c>
      <c r="Q440" s="680">
        <v>336.67839999999967</v>
      </c>
      <c r="R440" s="696"/>
      <c r="S440" s="553"/>
      <c r="T440" s="553"/>
      <c r="U440" s="553"/>
      <c r="V440" s="553"/>
      <c r="W440" s="553"/>
      <c r="X440" s="553"/>
      <c r="Y440" s="553"/>
      <c r="Z440" s="553"/>
      <c r="AA440" s="553"/>
      <c r="AB440" s="554"/>
      <c r="AC440" s="555"/>
      <c r="AD440" s="556"/>
      <c r="AE440" s="556"/>
      <c r="AF440" s="556"/>
      <c r="AG440" s="556"/>
    </row>
    <row r="441" spans="1:33">
      <c r="A441" s="585">
        <v>427</v>
      </c>
      <c r="B441" s="587" t="s">
        <v>4378</v>
      </c>
      <c r="C441" s="585">
        <v>427</v>
      </c>
      <c r="D441" s="629" t="s">
        <v>3409</v>
      </c>
      <c r="E441" s="586" t="s">
        <v>5070</v>
      </c>
      <c r="F441" s="675">
        <v>4.4601699999999994E-2</v>
      </c>
      <c r="G441" s="676">
        <v>2538.48</v>
      </c>
      <c r="H441" s="588">
        <v>487.2</v>
      </c>
      <c r="I441" s="587" t="s">
        <v>549</v>
      </c>
      <c r="J441" s="585">
        <v>1</v>
      </c>
      <c r="K441" s="585" t="s">
        <v>4329</v>
      </c>
      <c r="L441" s="678">
        <v>348</v>
      </c>
      <c r="M441" s="649" t="s">
        <v>2533</v>
      </c>
      <c r="N441" s="679">
        <v>67.071199999999919</v>
      </c>
      <c r="O441" s="679">
        <v>134.15400000000011</v>
      </c>
      <c r="P441" s="589" t="s">
        <v>2534</v>
      </c>
      <c r="Q441" s="680">
        <v>336.67839999999967</v>
      </c>
      <c r="R441" s="696"/>
      <c r="S441" s="553"/>
      <c r="T441" s="553"/>
      <c r="U441" s="553"/>
      <c r="V441" s="553"/>
      <c r="W441" s="553"/>
      <c r="X441" s="553"/>
      <c r="Y441" s="553"/>
      <c r="Z441" s="553"/>
      <c r="AA441" s="553"/>
      <c r="AB441" s="554"/>
      <c r="AC441" s="555"/>
      <c r="AD441" s="556"/>
      <c r="AE441" s="556"/>
      <c r="AF441" s="556"/>
      <c r="AG441" s="556"/>
    </row>
    <row r="442" spans="1:33">
      <c r="A442" s="585">
        <v>428</v>
      </c>
      <c r="B442" s="587" t="s">
        <v>3398</v>
      </c>
      <c r="C442" s="585">
        <v>428</v>
      </c>
      <c r="D442" s="629" t="s">
        <v>3409</v>
      </c>
      <c r="E442" s="586" t="s">
        <v>3425</v>
      </c>
      <c r="F442" s="675">
        <v>4.60186E-2</v>
      </c>
      <c r="G442" s="676">
        <v>2538.48</v>
      </c>
      <c r="H442" s="588">
        <v>487.2</v>
      </c>
      <c r="I442" s="587" t="s">
        <v>549</v>
      </c>
      <c r="J442" s="585">
        <v>1</v>
      </c>
      <c r="K442" s="585" t="s">
        <v>3479</v>
      </c>
      <c r="L442" s="678">
        <v>348</v>
      </c>
      <c r="M442" s="649" t="s">
        <v>2533</v>
      </c>
      <c r="N442" s="679">
        <v>67.071199999999919</v>
      </c>
      <c r="O442" s="679">
        <v>134.15400000000011</v>
      </c>
      <c r="P442" s="589" t="s">
        <v>2534</v>
      </c>
      <c r="Q442" s="680">
        <v>336.67839999999967</v>
      </c>
      <c r="R442" s="696"/>
      <c r="S442" s="553"/>
      <c r="T442" s="553"/>
      <c r="U442" s="553"/>
      <c r="V442" s="553"/>
      <c r="W442" s="553"/>
      <c r="X442" s="553"/>
      <c r="Y442" s="553"/>
      <c r="Z442" s="553"/>
      <c r="AA442" s="553"/>
      <c r="AB442" s="554"/>
      <c r="AC442" s="555"/>
      <c r="AD442" s="556"/>
      <c r="AE442" s="556"/>
      <c r="AF442" s="556"/>
      <c r="AG442" s="556"/>
    </row>
    <row r="443" spans="1:33">
      <c r="A443" s="585">
        <v>429</v>
      </c>
      <c r="B443" s="587" t="s">
        <v>3399</v>
      </c>
      <c r="C443" s="585">
        <v>429</v>
      </c>
      <c r="D443" s="629" t="s">
        <v>3409</v>
      </c>
      <c r="E443" s="586" t="s">
        <v>3426</v>
      </c>
      <c r="F443" s="675">
        <v>4.4802600000000005E-2</v>
      </c>
      <c r="G443" s="676">
        <v>2538.48</v>
      </c>
      <c r="H443" s="588">
        <v>487.2</v>
      </c>
      <c r="I443" s="587" t="s">
        <v>549</v>
      </c>
      <c r="J443" s="585">
        <v>1</v>
      </c>
      <c r="K443" s="585" t="s">
        <v>3480</v>
      </c>
      <c r="L443" s="678">
        <v>348</v>
      </c>
      <c r="M443" s="649" t="s">
        <v>2533</v>
      </c>
      <c r="N443" s="679">
        <v>67.071199999999919</v>
      </c>
      <c r="O443" s="679">
        <v>134.15400000000011</v>
      </c>
      <c r="P443" s="589" t="s">
        <v>2534</v>
      </c>
      <c r="Q443" s="680">
        <v>336.67839999999967</v>
      </c>
      <c r="R443" s="696"/>
      <c r="S443" s="553"/>
      <c r="T443" s="553"/>
      <c r="U443" s="553"/>
      <c r="V443" s="553"/>
      <c r="W443" s="553"/>
      <c r="X443" s="553"/>
      <c r="Y443" s="553"/>
      <c r="Z443" s="553"/>
      <c r="AA443" s="553"/>
      <c r="AB443" s="554"/>
      <c r="AC443" s="555"/>
      <c r="AD443" s="556"/>
      <c r="AE443" s="556"/>
      <c r="AF443" s="556"/>
      <c r="AG443" s="556"/>
    </row>
    <row r="444" spans="1:33">
      <c r="A444" s="585">
        <v>430</v>
      </c>
      <c r="B444" s="587" t="s">
        <v>3400</v>
      </c>
      <c r="C444" s="585">
        <v>430</v>
      </c>
      <c r="D444" s="629" t="s">
        <v>3409</v>
      </c>
      <c r="E444" s="586" t="s">
        <v>3427</v>
      </c>
      <c r="F444" s="675">
        <v>4.60186E-2</v>
      </c>
      <c r="G444" s="676">
        <v>2538.48</v>
      </c>
      <c r="H444" s="588">
        <v>487.2</v>
      </c>
      <c r="I444" s="587" t="s">
        <v>549</v>
      </c>
      <c r="J444" s="585">
        <v>1</v>
      </c>
      <c r="K444" s="585" t="s">
        <v>3481</v>
      </c>
      <c r="L444" s="678">
        <v>348</v>
      </c>
      <c r="M444" s="649" t="s">
        <v>2533</v>
      </c>
      <c r="N444" s="679">
        <v>67.071199999999919</v>
      </c>
      <c r="O444" s="679">
        <v>134.15400000000011</v>
      </c>
      <c r="P444" s="589" t="s">
        <v>2534</v>
      </c>
      <c r="Q444" s="680">
        <v>336.67839999999967</v>
      </c>
      <c r="R444" s="696"/>
      <c r="S444" s="553"/>
      <c r="T444" s="553"/>
      <c r="U444" s="553"/>
      <c r="V444" s="553"/>
      <c r="W444" s="553"/>
      <c r="X444" s="553"/>
      <c r="Y444" s="553"/>
      <c r="Z444" s="553"/>
      <c r="AA444" s="553"/>
      <c r="AB444" s="554"/>
      <c r="AC444" s="555"/>
      <c r="AD444" s="556"/>
      <c r="AE444" s="556"/>
      <c r="AF444" s="556"/>
      <c r="AG444" s="556"/>
    </row>
    <row r="445" spans="1:33">
      <c r="A445" s="585">
        <v>431</v>
      </c>
      <c r="B445" s="587" t="s">
        <v>3401</v>
      </c>
      <c r="C445" s="585">
        <v>431</v>
      </c>
      <c r="D445" s="629" t="s">
        <v>3409</v>
      </c>
      <c r="E445" s="586" t="s">
        <v>3428</v>
      </c>
      <c r="F445" s="675">
        <v>4.6859000000000005E-2</v>
      </c>
      <c r="G445" s="676">
        <v>2538.48</v>
      </c>
      <c r="H445" s="588">
        <v>487.2</v>
      </c>
      <c r="I445" s="587" t="s">
        <v>549</v>
      </c>
      <c r="J445" s="585">
        <v>1</v>
      </c>
      <c r="K445" s="585" t="s">
        <v>3482</v>
      </c>
      <c r="L445" s="678">
        <v>348</v>
      </c>
      <c r="M445" s="649" t="s">
        <v>2533</v>
      </c>
      <c r="N445" s="679">
        <v>67.071199999999919</v>
      </c>
      <c r="O445" s="679">
        <v>134.15400000000011</v>
      </c>
      <c r="P445" s="589" t="s">
        <v>2534</v>
      </c>
      <c r="Q445" s="680">
        <v>336.67839999999967</v>
      </c>
      <c r="R445" s="696"/>
      <c r="S445" s="553"/>
      <c r="T445" s="553"/>
      <c r="U445" s="553"/>
      <c r="V445" s="553"/>
      <c r="W445" s="553"/>
      <c r="X445" s="553"/>
      <c r="Y445" s="553"/>
      <c r="Z445" s="553"/>
      <c r="AA445" s="553"/>
      <c r="AB445" s="554"/>
      <c r="AC445" s="555"/>
      <c r="AD445" s="556"/>
      <c r="AE445" s="556"/>
      <c r="AF445" s="556"/>
      <c r="AG445" s="556"/>
    </row>
    <row r="446" spans="1:33">
      <c r="A446" s="585">
        <v>432</v>
      </c>
      <c r="B446" s="587" t="s">
        <v>3402</v>
      </c>
      <c r="C446" s="585">
        <v>432</v>
      </c>
      <c r="D446" s="629" t="s">
        <v>3409</v>
      </c>
      <c r="E446" s="586" t="s">
        <v>3429</v>
      </c>
      <c r="F446" s="675">
        <v>4.7998700000000005E-2</v>
      </c>
      <c r="G446" s="676">
        <v>3463.0023344000001</v>
      </c>
      <c r="H446" s="588">
        <v>487.2</v>
      </c>
      <c r="I446" s="587" t="s">
        <v>601</v>
      </c>
      <c r="J446" s="585">
        <v>2</v>
      </c>
      <c r="K446" s="585" t="s">
        <v>3449</v>
      </c>
      <c r="L446" s="678">
        <v>348</v>
      </c>
      <c r="M446" s="649" t="s">
        <v>2533</v>
      </c>
      <c r="N446" s="679">
        <v>121.62599999999989</v>
      </c>
      <c r="O446" s="679">
        <v>243.24039999999999</v>
      </c>
      <c r="P446" s="589" t="s">
        <v>2534</v>
      </c>
      <c r="Q446" s="680">
        <v>336.67839999999967</v>
      </c>
      <c r="R446" s="696"/>
      <c r="S446" s="553"/>
      <c r="T446" s="553"/>
      <c r="U446" s="553"/>
      <c r="V446" s="553"/>
      <c r="W446" s="553"/>
      <c r="X446" s="553"/>
      <c r="Y446" s="553"/>
      <c r="Z446" s="553"/>
      <c r="AA446" s="553"/>
      <c r="AB446" s="554"/>
      <c r="AC446" s="555"/>
      <c r="AD446" s="556"/>
      <c r="AE446" s="556"/>
      <c r="AF446" s="556"/>
      <c r="AG446" s="556"/>
    </row>
    <row r="447" spans="1:33">
      <c r="A447" s="585">
        <v>433</v>
      </c>
      <c r="B447" s="587" t="s">
        <v>3403</v>
      </c>
      <c r="C447" s="585">
        <v>433</v>
      </c>
      <c r="D447" s="629" t="s">
        <v>3409</v>
      </c>
      <c r="E447" s="586" t="s">
        <v>3430</v>
      </c>
      <c r="F447" s="675">
        <v>4.60186E-2</v>
      </c>
      <c r="G447" s="676">
        <v>2538.48</v>
      </c>
      <c r="H447" s="588">
        <v>487.2</v>
      </c>
      <c r="I447" s="587" t="s">
        <v>549</v>
      </c>
      <c r="J447" s="585">
        <v>1</v>
      </c>
      <c r="K447" s="585" t="s">
        <v>3483</v>
      </c>
      <c r="L447" s="678">
        <v>348</v>
      </c>
      <c r="M447" s="649" t="s">
        <v>2533</v>
      </c>
      <c r="N447" s="679">
        <v>67.071199999999919</v>
      </c>
      <c r="O447" s="679">
        <v>134.15400000000011</v>
      </c>
      <c r="P447" s="589" t="s">
        <v>2534</v>
      </c>
      <c r="Q447" s="680">
        <v>336.67839999999967</v>
      </c>
      <c r="R447" s="696"/>
      <c r="S447" s="553"/>
      <c r="T447" s="553"/>
      <c r="U447" s="553"/>
      <c r="V447" s="553"/>
      <c r="W447" s="553"/>
      <c r="X447" s="553"/>
      <c r="Y447" s="553"/>
      <c r="Z447" s="553"/>
      <c r="AA447" s="553"/>
      <c r="AB447" s="554"/>
      <c r="AC447" s="555"/>
      <c r="AD447" s="556"/>
      <c r="AE447" s="556"/>
      <c r="AF447" s="556"/>
      <c r="AG447" s="556"/>
    </row>
    <row r="448" spans="1:33">
      <c r="A448" s="585">
        <v>434</v>
      </c>
      <c r="B448" s="587" t="s">
        <v>2783</v>
      </c>
      <c r="C448" s="585">
        <v>434</v>
      </c>
      <c r="D448" s="629" t="s">
        <v>2300</v>
      </c>
      <c r="E448" s="586" t="s">
        <v>282</v>
      </c>
      <c r="F448" s="675">
        <v>6.2873600000000002E-2</v>
      </c>
      <c r="G448" s="676">
        <v>2538.48</v>
      </c>
      <c r="H448" s="588">
        <v>487.2</v>
      </c>
      <c r="I448" s="587" t="s">
        <v>549</v>
      </c>
      <c r="J448" s="585">
        <v>1</v>
      </c>
      <c r="K448" s="585" t="s">
        <v>778</v>
      </c>
      <c r="L448" s="678">
        <v>348</v>
      </c>
      <c r="M448" s="649" t="s">
        <v>2533</v>
      </c>
      <c r="N448" s="679">
        <v>67.071199999999919</v>
      </c>
      <c r="O448" s="679">
        <v>134.15400000000011</v>
      </c>
      <c r="P448" s="589" t="s">
        <v>2534</v>
      </c>
      <c r="Q448" s="680">
        <v>336.67839999999967</v>
      </c>
      <c r="R448" s="696"/>
      <c r="S448" s="553"/>
      <c r="T448" s="553"/>
      <c r="U448" s="553"/>
      <c r="V448" s="553"/>
      <c r="W448" s="553"/>
      <c r="X448" s="553"/>
      <c r="Y448" s="553"/>
      <c r="Z448" s="553"/>
      <c r="AA448" s="553"/>
      <c r="AB448" s="554"/>
      <c r="AC448" s="555"/>
      <c r="AD448" s="556"/>
      <c r="AE448" s="556"/>
      <c r="AF448" s="556"/>
      <c r="AG448" s="556"/>
    </row>
    <row r="449" spans="1:33">
      <c r="A449" s="585">
        <v>435</v>
      </c>
      <c r="B449" s="587" t="s">
        <v>2784</v>
      </c>
      <c r="C449" s="585">
        <v>435</v>
      </c>
      <c r="D449" s="629" t="s">
        <v>2300</v>
      </c>
      <c r="E449" s="586" t="s">
        <v>283</v>
      </c>
      <c r="F449" s="675">
        <v>6.2873600000000002E-2</v>
      </c>
      <c r="G449" s="676">
        <v>2538.48</v>
      </c>
      <c r="H449" s="588">
        <v>487.2</v>
      </c>
      <c r="I449" s="587" t="s">
        <v>549</v>
      </c>
      <c r="J449" s="585">
        <v>1</v>
      </c>
      <c r="K449" s="585" t="s">
        <v>779</v>
      </c>
      <c r="L449" s="678">
        <v>348</v>
      </c>
      <c r="M449" s="649" t="s">
        <v>2533</v>
      </c>
      <c r="N449" s="679">
        <v>67.071199999999919</v>
      </c>
      <c r="O449" s="679">
        <v>134.15400000000011</v>
      </c>
      <c r="P449" s="589" t="s">
        <v>2534</v>
      </c>
      <c r="Q449" s="680">
        <v>336.67839999999967</v>
      </c>
      <c r="R449" s="696"/>
      <c r="S449" s="553"/>
      <c r="T449" s="553"/>
      <c r="U449" s="553"/>
      <c r="V449" s="553"/>
      <c r="W449" s="553"/>
      <c r="X449" s="553"/>
      <c r="Y449" s="553"/>
      <c r="Z449" s="553"/>
      <c r="AA449" s="553"/>
      <c r="AB449" s="554"/>
      <c r="AC449" s="555"/>
      <c r="AD449" s="556"/>
      <c r="AE449" s="556"/>
      <c r="AF449" s="556"/>
      <c r="AG449" s="556"/>
    </row>
    <row r="450" spans="1:33">
      <c r="A450" s="585">
        <v>436</v>
      </c>
      <c r="B450" s="587" t="s">
        <v>10496</v>
      </c>
      <c r="C450" s="585">
        <v>436</v>
      </c>
      <c r="D450" s="629" t="s">
        <v>4412</v>
      </c>
      <c r="E450" s="586" t="s">
        <v>10456</v>
      </c>
      <c r="F450" s="675">
        <v>2.6136E-2</v>
      </c>
      <c r="G450" s="676">
        <v>8691.42</v>
      </c>
      <c r="H450" s="588">
        <v>487.2</v>
      </c>
      <c r="I450" s="587" t="s">
        <v>3793</v>
      </c>
      <c r="J450" s="585">
        <v>3</v>
      </c>
      <c r="K450" s="585" t="s">
        <v>10487</v>
      </c>
      <c r="L450" s="678">
        <v>0</v>
      </c>
      <c r="M450" s="649" t="s">
        <v>2533</v>
      </c>
      <c r="N450" s="679">
        <v>354.90200000000084</v>
      </c>
      <c r="O450" s="679">
        <v>709.80400000000066</v>
      </c>
      <c r="P450" s="589" t="s">
        <v>2534</v>
      </c>
      <c r="Q450" s="680">
        <v>0</v>
      </c>
      <c r="R450" s="696"/>
      <c r="S450" s="553"/>
      <c r="T450" s="553"/>
      <c r="U450" s="553"/>
      <c r="V450" s="553"/>
      <c r="W450" s="553"/>
      <c r="X450" s="553"/>
      <c r="Y450" s="553"/>
      <c r="Z450" s="553"/>
      <c r="AA450" s="553"/>
      <c r="AB450" s="554"/>
      <c r="AC450" s="555"/>
      <c r="AD450" s="556"/>
      <c r="AE450" s="556"/>
      <c r="AF450" s="556"/>
      <c r="AG450" s="556"/>
    </row>
    <row r="451" spans="1:33">
      <c r="A451" s="585">
        <v>437</v>
      </c>
      <c r="B451" s="587" t="s">
        <v>4408</v>
      </c>
      <c r="C451" s="585">
        <v>437</v>
      </c>
      <c r="D451" s="629" t="s">
        <v>4412</v>
      </c>
      <c r="E451" s="586" t="s">
        <v>4414</v>
      </c>
      <c r="F451" s="675">
        <v>3.8318999999999999E-2</v>
      </c>
      <c r="G451" s="676">
        <v>11870.23</v>
      </c>
      <c r="H451" s="588">
        <v>487.2</v>
      </c>
      <c r="I451" s="587" t="s">
        <v>3793</v>
      </c>
      <c r="J451" s="585">
        <v>3</v>
      </c>
      <c r="K451" s="585" t="s">
        <v>4418</v>
      </c>
      <c r="L451" s="678">
        <v>0</v>
      </c>
      <c r="M451" s="649" t="s">
        <v>2533</v>
      </c>
      <c r="N451" s="679">
        <v>415.31500000000051</v>
      </c>
      <c r="O451" s="679">
        <v>830.63000000000102</v>
      </c>
      <c r="P451" s="589" t="s">
        <v>2534</v>
      </c>
      <c r="Q451" s="680">
        <v>0</v>
      </c>
      <c r="R451" s="696"/>
      <c r="S451" s="553"/>
      <c r="T451" s="553"/>
      <c r="U451" s="553"/>
      <c r="V451" s="553"/>
      <c r="W451" s="553"/>
      <c r="X451" s="553"/>
      <c r="Y451" s="553"/>
      <c r="Z451" s="553"/>
      <c r="AA451" s="553"/>
      <c r="AB451" s="554"/>
      <c r="AC451" s="555"/>
      <c r="AD451" s="556"/>
      <c r="AE451" s="556"/>
      <c r="AF451" s="556"/>
      <c r="AG451" s="556"/>
    </row>
    <row r="452" spans="1:33">
      <c r="A452" s="585">
        <v>438</v>
      </c>
      <c r="B452" s="587" t="s">
        <v>10497</v>
      </c>
      <c r="C452" s="585">
        <v>438</v>
      </c>
      <c r="D452" s="629" t="s">
        <v>4412</v>
      </c>
      <c r="E452" s="586" t="s">
        <v>10457</v>
      </c>
      <c r="F452" s="675">
        <v>3.8318999999999999E-2</v>
      </c>
      <c r="G452" s="676">
        <v>11870.233599999998</v>
      </c>
      <c r="H452" s="588">
        <v>487.2</v>
      </c>
      <c r="I452" s="587" t="s">
        <v>3793</v>
      </c>
      <c r="J452" s="585">
        <v>3</v>
      </c>
      <c r="K452" s="585" t="s">
        <v>4418</v>
      </c>
      <c r="L452" s="678">
        <v>0</v>
      </c>
      <c r="M452" s="649" t="s">
        <v>2533</v>
      </c>
      <c r="N452" s="679">
        <v>481.77120000000002</v>
      </c>
      <c r="O452" s="679">
        <v>963.5308</v>
      </c>
      <c r="P452" s="589" t="s">
        <v>2534</v>
      </c>
      <c r="Q452" s="680">
        <v>0</v>
      </c>
      <c r="R452" s="696"/>
      <c r="S452" s="553"/>
      <c r="T452" s="553"/>
      <c r="U452" s="553"/>
      <c r="V452" s="553"/>
      <c r="W452" s="553"/>
      <c r="X452" s="553"/>
      <c r="Y452" s="553"/>
      <c r="Z452" s="553"/>
      <c r="AA452" s="553"/>
      <c r="AB452" s="554"/>
      <c r="AC452" s="555"/>
      <c r="AD452" s="556"/>
      <c r="AE452" s="556"/>
      <c r="AF452" s="556"/>
      <c r="AG452" s="556"/>
    </row>
    <row r="453" spans="1:33">
      <c r="A453" s="585">
        <v>439</v>
      </c>
      <c r="B453" s="587" t="s">
        <v>3404</v>
      </c>
      <c r="C453" s="585">
        <v>439</v>
      </c>
      <c r="D453" s="629" t="s">
        <v>2301</v>
      </c>
      <c r="E453" s="586" t="s">
        <v>2301</v>
      </c>
      <c r="F453" s="675">
        <v>6.5665399999999999E-2</v>
      </c>
      <c r="G453" s="676">
        <v>2538.48</v>
      </c>
      <c r="H453" s="588">
        <v>487.2</v>
      </c>
      <c r="I453" s="587" t="s">
        <v>549</v>
      </c>
      <c r="J453" s="585">
        <v>1</v>
      </c>
      <c r="K453" s="585" t="s">
        <v>780</v>
      </c>
      <c r="L453" s="678">
        <v>348</v>
      </c>
      <c r="M453" s="649" t="s">
        <v>2533</v>
      </c>
      <c r="N453" s="679">
        <v>67.071199999999919</v>
      </c>
      <c r="O453" s="679">
        <v>134.15400000000011</v>
      </c>
      <c r="P453" s="589" t="s">
        <v>2534</v>
      </c>
      <c r="Q453" s="680">
        <v>336.67839999999967</v>
      </c>
      <c r="R453" s="696"/>
      <c r="S453" s="553"/>
      <c r="T453" s="553"/>
      <c r="U453" s="553"/>
      <c r="V453" s="553"/>
      <c r="W453" s="553"/>
      <c r="X453" s="553"/>
      <c r="Y453" s="553"/>
      <c r="Z453" s="553"/>
      <c r="AA453" s="553"/>
      <c r="AB453" s="554"/>
      <c r="AC453" s="555"/>
      <c r="AD453" s="556"/>
      <c r="AE453" s="556"/>
      <c r="AF453" s="556"/>
      <c r="AG453" s="556"/>
    </row>
    <row r="454" spans="1:33">
      <c r="A454" s="585">
        <v>440</v>
      </c>
      <c r="B454" s="587" t="s">
        <v>2785</v>
      </c>
      <c r="C454" s="585">
        <v>440</v>
      </c>
      <c r="D454" s="629" t="s">
        <v>2302</v>
      </c>
      <c r="E454" s="586" t="s">
        <v>4422</v>
      </c>
      <c r="F454" s="675">
        <v>2.9645700000000001E-2</v>
      </c>
      <c r="G454" s="676">
        <v>2538.48</v>
      </c>
      <c r="H454" s="588">
        <v>487.2</v>
      </c>
      <c r="I454" s="587" t="s">
        <v>549</v>
      </c>
      <c r="J454" s="585">
        <v>1</v>
      </c>
      <c r="K454" s="585" t="s">
        <v>781</v>
      </c>
      <c r="L454" s="678">
        <v>348</v>
      </c>
      <c r="M454" s="649" t="s">
        <v>2533</v>
      </c>
      <c r="N454" s="679">
        <v>67.071199999999919</v>
      </c>
      <c r="O454" s="679">
        <v>134.15400000000011</v>
      </c>
      <c r="P454" s="589" t="s">
        <v>2534</v>
      </c>
      <c r="Q454" s="680">
        <v>336.67839999999967</v>
      </c>
      <c r="R454" s="696"/>
      <c r="S454" s="553"/>
      <c r="T454" s="553"/>
      <c r="U454" s="553"/>
      <c r="V454" s="553"/>
      <c r="W454" s="553"/>
      <c r="X454" s="553"/>
      <c r="Y454" s="553"/>
      <c r="Z454" s="553"/>
      <c r="AA454" s="553"/>
      <c r="AB454" s="554"/>
      <c r="AC454" s="555"/>
      <c r="AD454" s="556"/>
      <c r="AE454" s="556"/>
      <c r="AF454" s="556"/>
      <c r="AG454" s="556"/>
    </row>
    <row r="455" spans="1:33">
      <c r="A455" s="585">
        <v>441</v>
      </c>
      <c r="B455" s="587" t="s">
        <v>2786</v>
      </c>
      <c r="C455" s="585">
        <v>441</v>
      </c>
      <c r="D455" s="629" t="s">
        <v>2302</v>
      </c>
      <c r="E455" s="586" t="s">
        <v>4423</v>
      </c>
      <c r="F455" s="675">
        <v>3.2334100000000005E-2</v>
      </c>
      <c r="G455" s="676">
        <v>2538.48</v>
      </c>
      <c r="H455" s="588">
        <v>487.2</v>
      </c>
      <c r="I455" s="587" t="s">
        <v>549</v>
      </c>
      <c r="J455" s="585">
        <v>1</v>
      </c>
      <c r="K455" s="585" t="s">
        <v>782</v>
      </c>
      <c r="L455" s="678">
        <v>348</v>
      </c>
      <c r="M455" s="649" t="s">
        <v>2533</v>
      </c>
      <c r="N455" s="679">
        <v>67.071199999999919</v>
      </c>
      <c r="O455" s="679">
        <v>134.15400000000011</v>
      </c>
      <c r="P455" s="589" t="s">
        <v>2534</v>
      </c>
      <c r="Q455" s="680">
        <v>336.67839999999967</v>
      </c>
      <c r="R455" s="696"/>
      <c r="S455" s="553"/>
      <c r="T455" s="553"/>
      <c r="U455" s="553"/>
      <c r="V455" s="553"/>
      <c r="W455" s="553"/>
      <c r="X455" s="553"/>
      <c r="Y455" s="553"/>
      <c r="Z455" s="553"/>
      <c r="AA455" s="553"/>
      <c r="AB455" s="554"/>
      <c r="AC455" s="555"/>
      <c r="AD455" s="556"/>
      <c r="AE455" s="556"/>
      <c r="AF455" s="556"/>
      <c r="AG455" s="556"/>
    </row>
    <row r="456" spans="1:33">
      <c r="A456" s="585">
        <v>442</v>
      </c>
      <c r="B456" s="587" t="s">
        <v>2787</v>
      </c>
      <c r="C456" s="585">
        <v>442</v>
      </c>
      <c r="D456" s="629" t="s">
        <v>2302</v>
      </c>
      <c r="E456" s="586" t="s">
        <v>4424</v>
      </c>
      <c r="F456" s="675">
        <v>3.8366900000000002E-2</v>
      </c>
      <c r="G456" s="676">
        <v>2538.48</v>
      </c>
      <c r="H456" s="588">
        <v>487.2</v>
      </c>
      <c r="I456" s="587" t="s">
        <v>549</v>
      </c>
      <c r="J456" s="585">
        <v>1</v>
      </c>
      <c r="K456" s="585" t="s">
        <v>783</v>
      </c>
      <c r="L456" s="678">
        <v>348</v>
      </c>
      <c r="M456" s="649" t="s">
        <v>2533</v>
      </c>
      <c r="N456" s="679">
        <v>67.071199999999919</v>
      </c>
      <c r="O456" s="679">
        <v>134.15400000000011</v>
      </c>
      <c r="P456" s="589" t="s">
        <v>2534</v>
      </c>
      <c r="Q456" s="680">
        <v>336.67839999999967</v>
      </c>
      <c r="R456" s="696"/>
      <c r="S456" s="553"/>
      <c r="T456" s="553"/>
      <c r="U456" s="553"/>
      <c r="V456" s="553"/>
      <c r="W456" s="553"/>
      <c r="X456" s="553"/>
      <c r="Y456" s="553"/>
      <c r="Z456" s="553"/>
      <c r="AA456" s="553"/>
      <c r="AB456" s="554"/>
      <c r="AC456" s="555"/>
      <c r="AD456" s="556"/>
      <c r="AE456" s="556"/>
      <c r="AF456" s="556"/>
      <c r="AG456" s="556"/>
    </row>
    <row r="457" spans="1:33">
      <c r="A457" s="585">
        <v>443</v>
      </c>
      <c r="B457" s="587" t="s">
        <v>2788</v>
      </c>
      <c r="C457" s="585">
        <v>443</v>
      </c>
      <c r="D457" s="629" t="s">
        <v>2302</v>
      </c>
      <c r="E457" s="586" t="s">
        <v>4425</v>
      </c>
      <c r="F457" s="675">
        <v>2.9672999999999998E-2</v>
      </c>
      <c r="G457" s="676">
        <v>2538.48</v>
      </c>
      <c r="H457" s="588">
        <v>487.2</v>
      </c>
      <c r="I457" s="587" t="s">
        <v>549</v>
      </c>
      <c r="J457" s="585">
        <v>1</v>
      </c>
      <c r="K457" s="585" t="s">
        <v>784</v>
      </c>
      <c r="L457" s="678">
        <v>348</v>
      </c>
      <c r="M457" s="649" t="s">
        <v>2533</v>
      </c>
      <c r="N457" s="679">
        <v>67.071199999999919</v>
      </c>
      <c r="O457" s="679">
        <v>134.15400000000011</v>
      </c>
      <c r="P457" s="589" t="s">
        <v>2534</v>
      </c>
      <c r="Q457" s="680">
        <v>336.67839999999967</v>
      </c>
      <c r="R457" s="696"/>
      <c r="S457" s="553"/>
      <c r="T457" s="553"/>
      <c r="U457" s="553"/>
      <c r="V457" s="553"/>
      <c r="W457" s="553"/>
      <c r="X457" s="553"/>
      <c r="Y457" s="553"/>
      <c r="Z457" s="553"/>
      <c r="AA457" s="553"/>
      <c r="AB457" s="554"/>
      <c r="AC457" s="555"/>
      <c r="AD457" s="556"/>
      <c r="AE457" s="556"/>
      <c r="AF457" s="556"/>
      <c r="AG457" s="556"/>
    </row>
    <row r="458" spans="1:33">
      <c r="A458" s="585">
        <v>444</v>
      </c>
      <c r="B458" s="587" t="s">
        <v>2789</v>
      </c>
      <c r="C458" s="585">
        <v>444</v>
      </c>
      <c r="D458" s="629" t="s">
        <v>2302</v>
      </c>
      <c r="E458" s="586" t="s">
        <v>2790</v>
      </c>
      <c r="F458" s="675">
        <v>2.89722E-2</v>
      </c>
      <c r="G458" s="676">
        <v>2538.48</v>
      </c>
      <c r="H458" s="588">
        <v>487.2</v>
      </c>
      <c r="I458" s="587" t="s">
        <v>549</v>
      </c>
      <c r="J458" s="585">
        <v>1</v>
      </c>
      <c r="K458" s="585" t="s">
        <v>2791</v>
      </c>
      <c r="L458" s="678">
        <v>348</v>
      </c>
      <c r="M458" s="649" t="s">
        <v>2533</v>
      </c>
      <c r="N458" s="679">
        <v>67.071199999999919</v>
      </c>
      <c r="O458" s="679">
        <v>134.15400000000011</v>
      </c>
      <c r="P458" s="589" t="s">
        <v>2534</v>
      </c>
      <c r="Q458" s="680">
        <v>336.67839999999967</v>
      </c>
      <c r="R458" s="696"/>
      <c r="S458" s="553"/>
      <c r="T458" s="553"/>
      <c r="U458" s="553"/>
      <c r="V458" s="553"/>
      <c r="W458" s="553"/>
      <c r="X458" s="553"/>
      <c r="Y458" s="553"/>
      <c r="Z458" s="553"/>
      <c r="AA458" s="553"/>
      <c r="AB458" s="554"/>
      <c r="AC458" s="555"/>
      <c r="AD458" s="556"/>
      <c r="AE458" s="556"/>
      <c r="AF458" s="556"/>
      <c r="AG458" s="556"/>
    </row>
    <row r="459" spans="1:33">
      <c r="A459" s="585">
        <v>445</v>
      </c>
      <c r="B459" s="587" t="s">
        <v>2792</v>
      </c>
      <c r="C459" s="585">
        <v>445</v>
      </c>
      <c r="D459" s="629" t="s">
        <v>2302</v>
      </c>
      <c r="E459" s="586" t="s">
        <v>284</v>
      </c>
      <c r="F459" s="675">
        <v>3.0901499999999998E-2</v>
      </c>
      <c r="G459" s="676">
        <v>2538.48</v>
      </c>
      <c r="H459" s="588">
        <v>487.2</v>
      </c>
      <c r="I459" s="587" t="s">
        <v>549</v>
      </c>
      <c r="J459" s="585">
        <v>1</v>
      </c>
      <c r="K459" s="585" t="s">
        <v>785</v>
      </c>
      <c r="L459" s="678">
        <v>348</v>
      </c>
      <c r="M459" s="649" t="s">
        <v>2533</v>
      </c>
      <c r="N459" s="679">
        <v>67.071199999999919</v>
      </c>
      <c r="O459" s="679">
        <v>134.15400000000011</v>
      </c>
      <c r="P459" s="589" t="s">
        <v>2534</v>
      </c>
      <c r="Q459" s="680">
        <v>336.67839999999967</v>
      </c>
      <c r="R459" s="696"/>
      <c r="S459" s="553"/>
      <c r="T459" s="553"/>
      <c r="U459" s="553"/>
      <c r="V459" s="553"/>
      <c r="W459" s="553"/>
      <c r="X459" s="553"/>
      <c r="Y459" s="553"/>
      <c r="Z459" s="553"/>
      <c r="AA459" s="553"/>
      <c r="AB459" s="554"/>
      <c r="AC459" s="555"/>
      <c r="AD459" s="556"/>
      <c r="AE459" s="556"/>
      <c r="AF459" s="556"/>
      <c r="AG459" s="556"/>
    </row>
    <row r="460" spans="1:33">
      <c r="A460" s="585">
        <v>446</v>
      </c>
      <c r="B460" s="587" t="s">
        <v>2793</v>
      </c>
      <c r="C460" s="585">
        <v>446</v>
      </c>
      <c r="D460" s="629" t="s">
        <v>2302</v>
      </c>
      <c r="E460" s="586" t="s">
        <v>285</v>
      </c>
      <c r="F460" s="675">
        <v>3.0488300000000003E-2</v>
      </c>
      <c r="G460" s="676">
        <v>2538.48</v>
      </c>
      <c r="H460" s="588">
        <v>487.2</v>
      </c>
      <c r="I460" s="587" t="s">
        <v>549</v>
      </c>
      <c r="J460" s="585">
        <v>1</v>
      </c>
      <c r="K460" s="585" t="s">
        <v>786</v>
      </c>
      <c r="L460" s="678">
        <v>348</v>
      </c>
      <c r="M460" s="649" t="s">
        <v>2533</v>
      </c>
      <c r="N460" s="679">
        <v>67.071199999999919</v>
      </c>
      <c r="O460" s="679">
        <v>134.15400000000011</v>
      </c>
      <c r="P460" s="589" t="s">
        <v>2534</v>
      </c>
      <c r="Q460" s="680">
        <v>336.67839999999967</v>
      </c>
      <c r="R460" s="696"/>
      <c r="S460" s="553"/>
      <c r="T460" s="553"/>
      <c r="U460" s="553"/>
      <c r="V460" s="553"/>
      <c r="W460" s="553"/>
      <c r="X460" s="553"/>
      <c r="Y460" s="553"/>
      <c r="Z460" s="553"/>
      <c r="AA460" s="553"/>
      <c r="AB460" s="554"/>
      <c r="AC460" s="555"/>
      <c r="AD460" s="556"/>
      <c r="AE460" s="556"/>
      <c r="AF460" s="556"/>
      <c r="AG460" s="556"/>
    </row>
    <row r="461" spans="1:33">
      <c r="A461" s="585">
        <v>447</v>
      </c>
      <c r="B461" s="587" t="s">
        <v>2794</v>
      </c>
      <c r="C461" s="585">
        <v>447</v>
      </c>
      <c r="D461" s="629" t="s">
        <v>2302</v>
      </c>
      <c r="E461" s="586" t="s">
        <v>286</v>
      </c>
      <c r="F461" s="675">
        <v>2.9878599999999998E-2</v>
      </c>
      <c r="G461" s="676">
        <v>2538.48</v>
      </c>
      <c r="H461" s="588">
        <v>487.2</v>
      </c>
      <c r="I461" s="587" t="s">
        <v>549</v>
      </c>
      <c r="J461" s="585">
        <v>1</v>
      </c>
      <c r="K461" s="585" t="s">
        <v>787</v>
      </c>
      <c r="L461" s="678">
        <v>348</v>
      </c>
      <c r="M461" s="649" t="s">
        <v>2533</v>
      </c>
      <c r="N461" s="679">
        <v>67.071199999999919</v>
      </c>
      <c r="O461" s="679">
        <v>134.15400000000011</v>
      </c>
      <c r="P461" s="589" t="s">
        <v>2534</v>
      </c>
      <c r="Q461" s="680">
        <v>336.67839999999967</v>
      </c>
      <c r="R461" s="696"/>
      <c r="S461" s="553"/>
      <c r="T461" s="553"/>
      <c r="U461" s="553"/>
      <c r="V461" s="553"/>
      <c r="W461" s="553"/>
      <c r="X461" s="553"/>
      <c r="Y461" s="553"/>
      <c r="Z461" s="553"/>
      <c r="AA461" s="553"/>
      <c r="AB461" s="554"/>
      <c r="AC461" s="555"/>
      <c r="AD461" s="556"/>
      <c r="AE461" s="556"/>
      <c r="AF461" s="556"/>
      <c r="AG461" s="556"/>
    </row>
    <row r="462" spans="1:33">
      <c r="A462" s="585">
        <v>448</v>
      </c>
      <c r="B462" s="587" t="s">
        <v>2795</v>
      </c>
      <c r="C462" s="585">
        <v>448</v>
      </c>
      <c r="D462" s="629" t="s">
        <v>2302</v>
      </c>
      <c r="E462" s="586" t="s">
        <v>287</v>
      </c>
      <c r="F462" s="675">
        <v>3.0901499999999998E-2</v>
      </c>
      <c r="G462" s="676">
        <v>2538.48</v>
      </c>
      <c r="H462" s="588">
        <v>487.2</v>
      </c>
      <c r="I462" s="587" t="s">
        <v>549</v>
      </c>
      <c r="J462" s="585">
        <v>1</v>
      </c>
      <c r="K462" s="585" t="s">
        <v>788</v>
      </c>
      <c r="L462" s="678">
        <v>348</v>
      </c>
      <c r="M462" s="649" t="s">
        <v>2533</v>
      </c>
      <c r="N462" s="679">
        <v>67.071199999999919</v>
      </c>
      <c r="O462" s="679">
        <v>134.15400000000011</v>
      </c>
      <c r="P462" s="589" t="s">
        <v>2534</v>
      </c>
      <c r="Q462" s="680">
        <v>336.67839999999967</v>
      </c>
      <c r="R462" s="696"/>
      <c r="S462" s="553"/>
      <c r="T462" s="553"/>
      <c r="U462" s="553"/>
      <c r="V462" s="553"/>
      <c r="W462" s="553"/>
      <c r="X462" s="553"/>
      <c r="Y462" s="553"/>
      <c r="Z462" s="553"/>
      <c r="AA462" s="553"/>
      <c r="AB462" s="554"/>
      <c r="AC462" s="555"/>
      <c r="AD462" s="556"/>
      <c r="AE462" s="556"/>
      <c r="AF462" s="556"/>
      <c r="AG462" s="556"/>
    </row>
    <row r="463" spans="1:33">
      <c r="A463" s="585">
        <v>449</v>
      </c>
      <c r="B463" s="587" t="s">
        <v>5139</v>
      </c>
      <c r="C463" s="585">
        <v>449</v>
      </c>
      <c r="D463" s="629" t="s">
        <v>2303</v>
      </c>
      <c r="E463" s="586" t="s">
        <v>5151</v>
      </c>
      <c r="F463" s="675">
        <v>3.0097700000000002E-2</v>
      </c>
      <c r="G463" s="676">
        <v>2538.48</v>
      </c>
      <c r="H463" s="588">
        <v>487.2</v>
      </c>
      <c r="I463" s="587" t="s">
        <v>549</v>
      </c>
      <c r="J463" s="585">
        <v>1</v>
      </c>
      <c r="K463" s="585" t="s">
        <v>5163</v>
      </c>
      <c r="L463" s="678">
        <v>348</v>
      </c>
      <c r="M463" s="649" t="s">
        <v>2533</v>
      </c>
      <c r="N463" s="679">
        <v>67.071199999999919</v>
      </c>
      <c r="O463" s="679">
        <v>134.15399999999983</v>
      </c>
      <c r="P463" s="589" t="s">
        <v>2534</v>
      </c>
      <c r="Q463" s="680">
        <v>336.67839999999967</v>
      </c>
      <c r="R463" s="696"/>
      <c r="S463" s="553"/>
      <c r="T463" s="553"/>
      <c r="U463" s="553"/>
      <c r="V463" s="553"/>
      <c r="W463" s="553"/>
      <c r="X463" s="553"/>
      <c r="Y463" s="553"/>
      <c r="Z463" s="553"/>
      <c r="AA463" s="553"/>
      <c r="AB463" s="554"/>
      <c r="AC463" s="555"/>
      <c r="AD463" s="556"/>
      <c r="AE463" s="556"/>
      <c r="AF463" s="556"/>
      <c r="AG463" s="556"/>
    </row>
    <row r="464" spans="1:33">
      <c r="A464" s="585">
        <v>450</v>
      </c>
      <c r="B464" s="587" t="s">
        <v>4467</v>
      </c>
      <c r="C464" s="585">
        <v>450</v>
      </c>
      <c r="D464" s="629" t="s">
        <v>2303</v>
      </c>
      <c r="E464" s="586" t="s">
        <v>4471</v>
      </c>
      <c r="F464" s="675">
        <v>3.0097700000000002E-2</v>
      </c>
      <c r="G464" s="676">
        <v>2538.48</v>
      </c>
      <c r="H464" s="588">
        <v>487.2</v>
      </c>
      <c r="I464" s="587" t="s">
        <v>549</v>
      </c>
      <c r="J464" s="585">
        <v>1</v>
      </c>
      <c r="K464" s="585" t="s">
        <v>4475</v>
      </c>
      <c r="L464" s="678">
        <v>348</v>
      </c>
      <c r="M464" s="649" t="s">
        <v>2533</v>
      </c>
      <c r="N464" s="679">
        <v>67.071199999999919</v>
      </c>
      <c r="O464" s="679">
        <v>134.15400000000011</v>
      </c>
      <c r="P464" s="589" t="s">
        <v>2534</v>
      </c>
      <c r="Q464" s="680">
        <v>336.67839999999967</v>
      </c>
      <c r="R464" s="696"/>
      <c r="S464" s="553"/>
      <c r="T464" s="553"/>
      <c r="U464" s="553"/>
      <c r="V464" s="553"/>
      <c r="W464" s="553"/>
      <c r="X464" s="553"/>
      <c r="Y464" s="553"/>
      <c r="Z464" s="553"/>
      <c r="AA464" s="553"/>
      <c r="AB464" s="554"/>
      <c r="AC464" s="555"/>
      <c r="AD464" s="556"/>
      <c r="AE464" s="556"/>
      <c r="AF464" s="556"/>
      <c r="AG464" s="556"/>
    </row>
    <row r="465" spans="1:33">
      <c r="A465" s="585">
        <v>451</v>
      </c>
      <c r="B465" s="587" t="s">
        <v>3600</v>
      </c>
      <c r="C465" s="585">
        <v>451</v>
      </c>
      <c r="D465" s="629" t="s">
        <v>2303</v>
      </c>
      <c r="E465" s="586" t="s">
        <v>3774</v>
      </c>
      <c r="F465" s="675">
        <v>3.0097700000000002E-2</v>
      </c>
      <c r="G465" s="676">
        <v>2538.48</v>
      </c>
      <c r="H465" s="588">
        <v>487.2</v>
      </c>
      <c r="I465" s="587" t="s">
        <v>549</v>
      </c>
      <c r="J465" s="585">
        <v>1</v>
      </c>
      <c r="K465" s="585" t="s">
        <v>3688</v>
      </c>
      <c r="L465" s="678">
        <v>348</v>
      </c>
      <c r="M465" s="649" t="s">
        <v>2533</v>
      </c>
      <c r="N465" s="679">
        <v>67.071199999999919</v>
      </c>
      <c r="O465" s="679">
        <v>134.15400000000011</v>
      </c>
      <c r="P465" s="589" t="s">
        <v>2534</v>
      </c>
      <c r="Q465" s="680">
        <v>336.67839999999967</v>
      </c>
      <c r="R465" s="696"/>
      <c r="S465" s="553"/>
      <c r="T465" s="553"/>
      <c r="U465" s="553"/>
      <c r="V465" s="553"/>
      <c r="W465" s="553"/>
      <c r="X465" s="553"/>
      <c r="Y465" s="553"/>
      <c r="Z465" s="553"/>
      <c r="AA465" s="553"/>
      <c r="AB465" s="554"/>
      <c r="AC465" s="555"/>
      <c r="AD465" s="556"/>
      <c r="AE465" s="556"/>
      <c r="AF465" s="556"/>
      <c r="AG465" s="556"/>
    </row>
    <row r="466" spans="1:33">
      <c r="A466" s="585">
        <v>452</v>
      </c>
      <c r="B466" s="587" t="s">
        <v>3460</v>
      </c>
      <c r="C466" s="585">
        <v>452</v>
      </c>
      <c r="D466" s="629" t="s">
        <v>2303</v>
      </c>
      <c r="E466" s="586" t="s">
        <v>3461</v>
      </c>
      <c r="F466" s="675">
        <v>3.0097700000000002E-2</v>
      </c>
      <c r="G466" s="676">
        <v>2538.48</v>
      </c>
      <c r="H466" s="588">
        <v>487.2</v>
      </c>
      <c r="I466" s="587" t="s">
        <v>549</v>
      </c>
      <c r="J466" s="585">
        <v>1</v>
      </c>
      <c r="K466" s="585" t="s">
        <v>3462</v>
      </c>
      <c r="L466" s="678">
        <v>348</v>
      </c>
      <c r="M466" s="649" t="s">
        <v>2533</v>
      </c>
      <c r="N466" s="679">
        <v>67.071199999999919</v>
      </c>
      <c r="O466" s="679">
        <v>134.15400000000011</v>
      </c>
      <c r="P466" s="589" t="s">
        <v>2534</v>
      </c>
      <c r="Q466" s="680">
        <v>336.67839999999967</v>
      </c>
      <c r="R466" s="696"/>
      <c r="S466" s="553"/>
      <c r="T466" s="553"/>
      <c r="U466" s="553"/>
      <c r="V466" s="553"/>
      <c r="W466" s="553"/>
      <c r="X466" s="553"/>
      <c r="Y466" s="553"/>
      <c r="Z466" s="553"/>
      <c r="AA466" s="553"/>
      <c r="AB466" s="554"/>
      <c r="AC466" s="555"/>
      <c r="AD466" s="556"/>
      <c r="AE466" s="556"/>
      <c r="AF466" s="556"/>
      <c r="AG466" s="556"/>
    </row>
    <row r="467" spans="1:33">
      <c r="A467" s="585">
        <v>453</v>
      </c>
      <c r="B467" s="587" t="s">
        <v>3601</v>
      </c>
      <c r="C467" s="585">
        <v>453</v>
      </c>
      <c r="D467" s="629" t="s">
        <v>2303</v>
      </c>
      <c r="E467" s="586" t="s">
        <v>3775</v>
      </c>
      <c r="F467" s="675">
        <v>3.0097700000000002E-2</v>
      </c>
      <c r="G467" s="676">
        <v>2538.48</v>
      </c>
      <c r="H467" s="588">
        <v>487.2</v>
      </c>
      <c r="I467" s="587" t="s">
        <v>549</v>
      </c>
      <c r="J467" s="585">
        <v>1</v>
      </c>
      <c r="K467" s="585" t="s">
        <v>3689</v>
      </c>
      <c r="L467" s="678">
        <v>348</v>
      </c>
      <c r="M467" s="649" t="s">
        <v>2533</v>
      </c>
      <c r="N467" s="679">
        <v>67.071199999999919</v>
      </c>
      <c r="O467" s="679">
        <v>134.15400000000011</v>
      </c>
      <c r="P467" s="589" t="s">
        <v>2534</v>
      </c>
      <c r="Q467" s="680">
        <v>336.67839999999967</v>
      </c>
      <c r="R467" s="696"/>
      <c r="S467" s="553"/>
      <c r="T467" s="553"/>
      <c r="U467" s="553"/>
      <c r="V467" s="553"/>
      <c r="W467" s="553"/>
      <c r="X467" s="553"/>
      <c r="Y467" s="553"/>
      <c r="Z467" s="553"/>
      <c r="AA467" s="553"/>
      <c r="AB467" s="554"/>
      <c r="AC467" s="555"/>
      <c r="AD467" s="556"/>
      <c r="AE467" s="556"/>
      <c r="AF467" s="556"/>
      <c r="AG467" s="556"/>
    </row>
    <row r="468" spans="1:33">
      <c r="A468" s="585">
        <v>454</v>
      </c>
      <c r="B468" s="587" t="s">
        <v>10422</v>
      </c>
      <c r="C468" s="585">
        <v>454</v>
      </c>
      <c r="D468" s="629" t="s">
        <v>2303</v>
      </c>
      <c r="E468" s="586" t="s">
        <v>10458</v>
      </c>
      <c r="F468" s="675">
        <v>3.6269999999999997E-2</v>
      </c>
      <c r="G468" s="676">
        <v>2538.48</v>
      </c>
      <c r="H468" s="588">
        <v>487.2</v>
      </c>
      <c r="I468" s="587" t="s">
        <v>549</v>
      </c>
      <c r="J468" s="585">
        <v>1</v>
      </c>
      <c r="K468" s="585" t="s">
        <v>10488</v>
      </c>
      <c r="L468" s="678">
        <v>348</v>
      </c>
      <c r="M468" s="649" t="s">
        <v>2533</v>
      </c>
      <c r="N468" s="679">
        <v>67.071199999999919</v>
      </c>
      <c r="O468" s="679">
        <v>134.15399999999985</v>
      </c>
      <c r="P468" s="589" t="s">
        <v>2534</v>
      </c>
      <c r="Q468" s="680">
        <v>336.67840000000001</v>
      </c>
      <c r="R468" s="696"/>
      <c r="S468" s="553"/>
      <c r="T468" s="553"/>
      <c r="U468" s="553"/>
      <c r="V468" s="553"/>
      <c r="W468" s="553"/>
      <c r="X468" s="553"/>
      <c r="Y468" s="553"/>
      <c r="Z468" s="553"/>
      <c r="AA468" s="553"/>
      <c r="AB468" s="554"/>
      <c r="AC468" s="555"/>
      <c r="AD468" s="556"/>
      <c r="AE468" s="556"/>
      <c r="AF468" s="556"/>
      <c r="AG468" s="556"/>
    </row>
    <row r="469" spans="1:33">
      <c r="A469" s="585">
        <v>455</v>
      </c>
      <c r="B469" s="587" t="s">
        <v>2797</v>
      </c>
      <c r="C469" s="585">
        <v>455</v>
      </c>
      <c r="D469" s="629" t="s">
        <v>2303</v>
      </c>
      <c r="E469" s="586" t="s">
        <v>2483</v>
      </c>
      <c r="F469" s="675">
        <v>3.0097700000000002E-2</v>
      </c>
      <c r="G469" s="676">
        <v>2538.48</v>
      </c>
      <c r="H469" s="588">
        <v>487.2</v>
      </c>
      <c r="I469" s="587" t="s">
        <v>549</v>
      </c>
      <c r="J469" s="585">
        <v>1</v>
      </c>
      <c r="K469" s="585" t="s">
        <v>2484</v>
      </c>
      <c r="L469" s="678">
        <v>348</v>
      </c>
      <c r="M469" s="649" t="s">
        <v>2533</v>
      </c>
      <c r="N469" s="679">
        <v>67.071199999999919</v>
      </c>
      <c r="O469" s="679">
        <v>134.15400000000011</v>
      </c>
      <c r="P469" s="589" t="s">
        <v>2534</v>
      </c>
      <c r="Q469" s="680">
        <v>336.67839999999967</v>
      </c>
      <c r="R469" s="696"/>
      <c r="S469" s="553"/>
      <c r="T469" s="553"/>
      <c r="U469" s="553"/>
      <c r="V469" s="553"/>
      <c r="W469" s="553"/>
      <c r="X469" s="553"/>
      <c r="Y469" s="553"/>
      <c r="Z469" s="553"/>
      <c r="AA469" s="553"/>
      <c r="AB469" s="554"/>
      <c r="AC469" s="555"/>
      <c r="AD469" s="556"/>
      <c r="AE469" s="556"/>
      <c r="AF469" s="556"/>
      <c r="AG469" s="556"/>
    </row>
    <row r="470" spans="1:33">
      <c r="A470" s="585">
        <v>456</v>
      </c>
      <c r="B470" s="587" t="s">
        <v>2798</v>
      </c>
      <c r="C470" s="585">
        <v>456</v>
      </c>
      <c r="D470" s="629" t="s">
        <v>2303</v>
      </c>
      <c r="E470" s="586" t="s">
        <v>2485</v>
      </c>
      <c r="F470" s="675">
        <v>3.0097700000000002E-2</v>
      </c>
      <c r="G470" s="676">
        <v>2538.48</v>
      </c>
      <c r="H470" s="588">
        <v>487.2</v>
      </c>
      <c r="I470" s="587" t="s">
        <v>549</v>
      </c>
      <c r="J470" s="585">
        <v>1</v>
      </c>
      <c r="K470" s="585" t="s">
        <v>2486</v>
      </c>
      <c r="L470" s="678">
        <v>348</v>
      </c>
      <c r="M470" s="649" t="s">
        <v>2533</v>
      </c>
      <c r="N470" s="679">
        <v>67.071199999999919</v>
      </c>
      <c r="O470" s="679">
        <v>134.15400000000011</v>
      </c>
      <c r="P470" s="589" t="s">
        <v>2534</v>
      </c>
      <c r="Q470" s="680">
        <v>336.67839999999967</v>
      </c>
      <c r="R470" s="696"/>
      <c r="S470" s="553"/>
      <c r="T470" s="553"/>
      <c r="U470" s="553"/>
      <c r="V470" s="553"/>
      <c r="W470" s="553"/>
      <c r="X470" s="553"/>
      <c r="Y470" s="553"/>
      <c r="Z470" s="553"/>
      <c r="AA470" s="553"/>
      <c r="AB470" s="554"/>
      <c r="AC470" s="555"/>
      <c r="AD470" s="556"/>
      <c r="AE470" s="556"/>
      <c r="AF470" s="556"/>
      <c r="AG470" s="556"/>
    </row>
    <row r="471" spans="1:33">
      <c r="A471" s="585">
        <v>457</v>
      </c>
      <c r="B471" s="587" t="s">
        <v>3318</v>
      </c>
      <c r="C471" s="585">
        <v>457</v>
      </c>
      <c r="D471" s="629" t="s">
        <v>2303</v>
      </c>
      <c r="E471" s="586" t="s">
        <v>3328</v>
      </c>
      <c r="F471" s="675">
        <v>3.0097700000000002E-2</v>
      </c>
      <c r="G471" s="676">
        <v>2538.48</v>
      </c>
      <c r="H471" s="588">
        <v>487.2</v>
      </c>
      <c r="I471" s="587" t="s">
        <v>549</v>
      </c>
      <c r="J471" s="585">
        <v>1</v>
      </c>
      <c r="K471" s="585" t="s">
        <v>3325</v>
      </c>
      <c r="L471" s="678">
        <v>348</v>
      </c>
      <c r="M471" s="649" t="s">
        <v>2533</v>
      </c>
      <c r="N471" s="679">
        <v>67.071199999999919</v>
      </c>
      <c r="O471" s="679">
        <v>134.15400000000011</v>
      </c>
      <c r="P471" s="589" t="s">
        <v>2534</v>
      </c>
      <c r="Q471" s="680">
        <v>336.67839999999967</v>
      </c>
      <c r="R471" s="696"/>
      <c r="S471" s="553"/>
      <c r="T471" s="553"/>
      <c r="U471" s="553"/>
      <c r="V471" s="553"/>
      <c r="W471" s="553"/>
      <c r="X471" s="553"/>
      <c r="Y471" s="553"/>
      <c r="Z471" s="553"/>
      <c r="AA471" s="553"/>
      <c r="AB471" s="554"/>
      <c r="AC471" s="555"/>
      <c r="AD471" s="556"/>
      <c r="AE471" s="556"/>
      <c r="AF471" s="556"/>
      <c r="AG471" s="556"/>
    </row>
    <row r="472" spans="1:33" s="648" customFormat="1">
      <c r="A472" s="585">
        <v>458</v>
      </c>
      <c r="B472" s="587" t="s">
        <v>3349</v>
      </c>
      <c r="C472" s="585">
        <v>458</v>
      </c>
      <c r="D472" s="629" t="s">
        <v>2303</v>
      </c>
      <c r="E472" s="586" t="s">
        <v>3360</v>
      </c>
      <c r="F472" s="675">
        <v>3.0097700000000002E-2</v>
      </c>
      <c r="G472" s="676">
        <v>2538.48</v>
      </c>
      <c r="H472" s="588">
        <v>487.2</v>
      </c>
      <c r="I472" s="587" t="s">
        <v>549</v>
      </c>
      <c r="J472" s="585">
        <v>1</v>
      </c>
      <c r="K472" s="585" t="s">
        <v>3371</v>
      </c>
      <c r="L472" s="678">
        <v>348</v>
      </c>
      <c r="M472" s="649" t="s">
        <v>2533</v>
      </c>
      <c r="N472" s="679">
        <v>67.071199999999919</v>
      </c>
      <c r="O472" s="679">
        <v>134.15400000000011</v>
      </c>
      <c r="P472" s="589" t="s">
        <v>2534</v>
      </c>
      <c r="Q472" s="680">
        <v>336.67839999999967</v>
      </c>
      <c r="R472" s="696"/>
      <c r="S472" s="553"/>
      <c r="T472" s="553"/>
      <c r="U472" s="553"/>
      <c r="V472" s="553"/>
      <c r="W472" s="553"/>
      <c r="X472" s="553"/>
      <c r="Y472" s="553"/>
      <c r="Z472" s="553"/>
      <c r="AA472" s="553"/>
      <c r="AB472" s="554"/>
      <c r="AC472" s="555"/>
      <c r="AD472" s="556"/>
      <c r="AE472" s="556"/>
      <c r="AF472" s="556"/>
      <c r="AG472" s="556"/>
    </row>
    <row r="473" spans="1:33">
      <c r="A473" s="585">
        <v>459</v>
      </c>
      <c r="B473" s="587" t="s">
        <v>4402</v>
      </c>
      <c r="C473" s="585">
        <v>459</v>
      </c>
      <c r="D473" s="629" t="s">
        <v>2303</v>
      </c>
      <c r="E473" s="586" t="s">
        <v>4390</v>
      </c>
      <c r="F473" s="675">
        <v>3.0097700000000002E-2</v>
      </c>
      <c r="G473" s="676">
        <v>2538.48</v>
      </c>
      <c r="H473" s="588">
        <v>487.2</v>
      </c>
      <c r="I473" s="587" t="s">
        <v>549</v>
      </c>
      <c r="J473" s="585">
        <v>1</v>
      </c>
      <c r="K473" s="585" t="s">
        <v>4391</v>
      </c>
      <c r="L473" s="678">
        <v>348</v>
      </c>
      <c r="M473" s="649" t="s">
        <v>2533</v>
      </c>
      <c r="N473" s="679">
        <v>67.071199999999919</v>
      </c>
      <c r="O473" s="679">
        <v>134.15400000000011</v>
      </c>
      <c r="P473" s="589" t="s">
        <v>2534</v>
      </c>
      <c r="Q473" s="680">
        <v>336.67839999999967</v>
      </c>
      <c r="R473" s="696"/>
      <c r="S473" s="553"/>
      <c r="T473" s="553"/>
      <c r="U473" s="553"/>
      <c r="V473" s="553"/>
      <c r="W473" s="553"/>
      <c r="X473" s="553"/>
      <c r="Y473" s="553"/>
      <c r="Z473" s="553"/>
      <c r="AA473" s="553"/>
      <c r="AB473" s="554"/>
      <c r="AC473" s="555"/>
      <c r="AD473" s="556"/>
      <c r="AE473" s="556"/>
      <c r="AF473" s="556"/>
      <c r="AG473" s="556"/>
    </row>
    <row r="474" spans="1:33">
      <c r="A474" s="585">
        <v>460</v>
      </c>
      <c r="B474" s="587" t="s">
        <v>3350</v>
      </c>
      <c r="C474" s="585">
        <v>460</v>
      </c>
      <c r="D474" s="629" t="s">
        <v>2303</v>
      </c>
      <c r="E474" s="586" t="s">
        <v>3361</v>
      </c>
      <c r="F474" s="675">
        <v>3.0097700000000002E-2</v>
      </c>
      <c r="G474" s="676">
        <v>2538.48</v>
      </c>
      <c r="H474" s="588">
        <v>487.2</v>
      </c>
      <c r="I474" s="587" t="s">
        <v>549</v>
      </c>
      <c r="J474" s="585">
        <v>1</v>
      </c>
      <c r="K474" s="585" t="s">
        <v>3372</v>
      </c>
      <c r="L474" s="678">
        <v>348</v>
      </c>
      <c r="M474" s="649" t="s">
        <v>2533</v>
      </c>
      <c r="N474" s="679">
        <v>67.071199999999919</v>
      </c>
      <c r="O474" s="679">
        <v>134.15400000000011</v>
      </c>
      <c r="P474" s="589" t="s">
        <v>2534</v>
      </c>
      <c r="Q474" s="680">
        <v>336.67839999999967</v>
      </c>
      <c r="R474" s="696"/>
      <c r="S474" s="553"/>
      <c r="T474" s="553"/>
      <c r="U474" s="553"/>
      <c r="V474" s="553"/>
      <c r="W474" s="553"/>
      <c r="X474" s="553"/>
      <c r="Y474" s="553"/>
      <c r="Z474" s="553"/>
      <c r="AA474" s="553"/>
      <c r="AB474" s="554"/>
      <c r="AC474" s="555"/>
      <c r="AD474" s="556"/>
      <c r="AE474" s="556"/>
      <c r="AF474" s="556"/>
      <c r="AG474" s="556"/>
    </row>
    <row r="475" spans="1:33">
      <c r="A475" s="585">
        <v>461</v>
      </c>
      <c r="B475" s="587" t="s">
        <v>3351</v>
      </c>
      <c r="C475" s="585">
        <v>461</v>
      </c>
      <c r="D475" s="629" t="s">
        <v>2303</v>
      </c>
      <c r="E475" s="586" t="s">
        <v>3362</v>
      </c>
      <c r="F475" s="675">
        <v>3.0097700000000002E-2</v>
      </c>
      <c r="G475" s="676">
        <v>2538.48</v>
      </c>
      <c r="H475" s="588">
        <v>487.2</v>
      </c>
      <c r="I475" s="587" t="s">
        <v>549</v>
      </c>
      <c r="J475" s="585">
        <v>1</v>
      </c>
      <c r="K475" s="585" t="s">
        <v>3373</v>
      </c>
      <c r="L475" s="678">
        <v>348</v>
      </c>
      <c r="M475" s="649" t="s">
        <v>2533</v>
      </c>
      <c r="N475" s="679">
        <v>67.071199999999919</v>
      </c>
      <c r="O475" s="679">
        <v>134.15400000000011</v>
      </c>
      <c r="P475" s="589" t="s">
        <v>2534</v>
      </c>
      <c r="Q475" s="680">
        <v>336.67839999999967</v>
      </c>
      <c r="R475" s="696"/>
      <c r="S475" s="553"/>
      <c r="T475" s="553"/>
      <c r="U475" s="553"/>
      <c r="V475" s="553"/>
      <c r="W475" s="553"/>
      <c r="X475" s="553"/>
      <c r="Y475" s="553"/>
      <c r="Z475" s="553"/>
      <c r="AA475" s="553"/>
      <c r="AB475" s="554"/>
      <c r="AC475" s="555"/>
      <c r="AD475" s="556"/>
      <c r="AE475" s="556"/>
      <c r="AF475" s="556"/>
      <c r="AG475" s="556"/>
    </row>
    <row r="476" spans="1:33">
      <c r="A476" s="585">
        <v>462</v>
      </c>
      <c r="B476" s="587" t="s">
        <v>4310</v>
      </c>
      <c r="C476" s="585">
        <v>462</v>
      </c>
      <c r="D476" s="629" t="s">
        <v>2303</v>
      </c>
      <c r="E476" s="586" t="s">
        <v>4311</v>
      </c>
      <c r="F476" s="675">
        <v>3.0097700000000002E-2</v>
      </c>
      <c r="G476" s="676">
        <v>2538.48</v>
      </c>
      <c r="H476" s="588">
        <v>487.2</v>
      </c>
      <c r="I476" s="587" t="s">
        <v>549</v>
      </c>
      <c r="J476" s="585">
        <v>1</v>
      </c>
      <c r="K476" s="585" t="s">
        <v>4312</v>
      </c>
      <c r="L476" s="678">
        <v>348</v>
      </c>
      <c r="M476" s="649" t="s">
        <v>2533</v>
      </c>
      <c r="N476" s="679">
        <v>67.071199999999919</v>
      </c>
      <c r="O476" s="679">
        <v>134.15400000000011</v>
      </c>
      <c r="P476" s="589" t="s">
        <v>2534</v>
      </c>
      <c r="Q476" s="680">
        <v>336.67839999999967</v>
      </c>
      <c r="R476" s="696"/>
      <c r="S476" s="553"/>
      <c r="T476" s="553"/>
      <c r="U476" s="553"/>
      <c r="V476" s="553"/>
      <c r="W476" s="553"/>
      <c r="X476" s="553"/>
      <c r="Y476" s="553"/>
      <c r="Z476" s="553"/>
      <c r="AA476" s="553"/>
      <c r="AB476" s="554"/>
      <c r="AC476" s="555"/>
      <c r="AD476" s="556"/>
      <c r="AE476" s="556"/>
      <c r="AF476" s="556"/>
      <c r="AG476" s="556"/>
    </row>
    <row r="477" spans="1:33">
      <c r="A477" s="585">
        <v>463</v>
      </c>
      <c r="B477" s="587" t="s">
        <v>3463</v>
      </c>
      <c r="C477" s="585">
        <v>463</v>
      </c>
      <c r="D477" s="629" t="s">
        <v>2303</v>
      </c>
      <c r="E477" s="586" t="s">
        <v>3464</v>
      </c>
      <c r="F477" s="675">
        <v>3.0097700000000002E-2</v>
      </c>
      <c r="G477" s="676">
        <v>2538.48</v>
      </c>
      <c r="H477" s="588">
        <v>487.2</v>
      </c>
      <c r="I477" s="587" t="s">
        <v>549</v>
      </c>
      <c r="J477" s="585">
        <v>1</v>
      </c>
      <c r="K477" s="585" t="s">
        <v>3465</v>
      </c>
      <c r="L477" s="678">
        <v>348</v>
      </c>
      <c r="M477" s="649" t="s">
        <v>2533</v>
      </c>
      <c r="N477" s="679">
        <v>67.071199999999919</v>
      </c>
      <c r="O477" s="679">
        <v>134.15400000000011</v>
      </c>
      <c r="P477" s="589" t="s">
        <v>2534</v>
      </c>
      <c r="Q477" s="680">
        <v>336.67839999999967</v>
      </c>
      <c r="R477" s="696"/>
      <c r="S477" s="553"/>
      <c r="T477" s="553"/>
      <c r="U477" s="553"/>
      <c r="V477" s="553"/>
      <c r="W477" s="553"/>
      <c r="X477" s="553"/>
      <c r="Y477" s="553"/>
      <c r="Z477" s="553"/>
      <c r="AA477" s="553"/>
      <c r="AB477" s="554"/>
      <c r="AC477" s="555"/>
      <c r="AD477" s="556"/>
      <c r="AE477" s="556"/>
      <c r="AF477" s="556"/>
      <c r="AG477" s="556"/>
    </row>
    <row r="478" spans="1:33">
      <c r="A478" s="585">
        <v>464</v>
      </c>
      <c r="B478" s="587" t="s">
        <v>4379</v>
      </c>
      <c r="C478" s="585">
        <v>464</v>
      </c>
      <c r="D478" s="629" t="s">
        <v>2303</v>
      </c>
      <c r="E478" s="586" t="s">
        <v>4380</v>
      </c>
      <c r="F478" s="675">
        <v>3.0097700000000002E-2</v>
      </c>
      <c r="G478" s="676">
        <v>2538.48</v>
      </c>
      <c r="H478" s="588">
        <v>487.2</v>
      </c>
      <c r="I478" s="587" t="s">
        <v>549</v>
      </c>
      <c r="J478" s="585">
        <v>1</v>
      </c>
      <c r="K478" s="585" t="s">
        <v>4381</v>
      </c>
      <c r="L478" s="678">
        <v>348</v>
      </c>
      <c r="M478" s="649" t="s">
        <v>2533</v>
      </c>
      <c r="N478" s="679">
        <v>67.071199999999919</v>
      </c>
      <c r="O478" s="679">
        <v>134.15400000000011</v>
      </c>
      <c r="P478" s="589" t="s">
        <v>2534</v>
      </c>
      <c r="Q478" s="680">
        <v>336.67839999999967</v>
      </c>
      <c r="R478" s="696"/>
      <c r="S478" s="553"/>
      <c r="T478" s="553"/>
      <c r="U478" s="553"/>
      <c r="V478" s="553"/>
      <c r="W478" s="553"/>
      <c r="X478" s="553"/>
      <c r="Y478" s="553"/>
      <c r="Z478" s="553"/>
      <c r="AA478" s="553"/>
      <c r="AB478" s="554"/>
      <c r="AC478" s="555"/>
      <c r="AD478" s="556"/>
      <c r="AE478" s="556"/>
      <c r="AF478" s="556"/>
      <c r="AG478" s="556"/>
    </row>
    <row r="479" spans="1:33">
      <c r="A479" s="585">
        <v>465</v>
      </c>
      <c r="B479" s="587" t="s">
        <v>4340</v>
      </c>
      <c r="C479" s="585">
        <v>465</v>
      </c>
      <c r="D479" s="629" t="s">
        <v>2303</v>
      </c>
      <c r="E479" s="586" t="s">
        <v>4341</v>
      </c>
      <c r="F479" s="675">
        <v>3.0097700000000002E-2</v>
      </c>
      <c r="G479" s="676">
        <v>2538.48</v>
      </c>
      <c r="H479" s="588">
        <v>487.2</v>
      </c>
      <c r="I479" s="587" t="s">
        <v>549</v>
      </c>
      <c r="J479" s="585">
        <v>1</v>
      </c>
      <c r="K479" s="585" t="s">
        <v>4342</v>
      </c>
      <c r="L479" s="678">
        <v>348</v>
      </c>
      <c r="M479" s="649" t="s">
        <v>2533</v>
      </c>
      <c r="N479" s="679">
        <v>67.071199999999919</v>
      </c>
      <c r="O479" s="679">
        <v>134.15400000000011</v>
      </c>
      <c r="P479" s="589" t="s">
        <v>2534</v>
      </c>
      <c r="Q479" s="680">
        <v>336.67839999999967</v>
      </c>
      <c r="R479" s="696"/>
      <c r="S479" s="553"/>
      <c r="T479" s="553"/>
      <c r="U479" s="553"/>
      <c r="V479" s="553"/>
      <c r="W479" s="553"/>
      <c r="X479" s="553"/>
      <c r="Y479" s="553"/>
      <c r="Z479" s="553"/>
      <c r="AA479" s="553"/>
      <c r="AB479" s="554"/>
      <c r="AC479" s="555"/>
      <c r="AD479" s="556"/>
      <c r="AE479" s="556"/>
      <c r="AF479" s="556"/>
      <c r="AG479" s="556"/>
    </row>
    <row r="480" spans="1:33">
      <c r="A480" s="585">
        <v>466</v>
      </c>
      <c r="B480" s="587" t="s">
        <v>3405</v>
      </c>
      <c r="C480" s="585">
        <v>466</v>
      </c>
      <c r="D480" s="629" t="s">
        <v>2303</v>
      </c>
      <c r="E480" s="586" t="s">
        <v>3431</v>
      </c>
      <c r="F480" s="675">
        <v>3.0097700000000002E-2</v>
      </c>
      <c r="G480" s="676">
        <v>2538.48</v>
      </c>
      <c r="H480" s="588">
        <v>487.2</v>
      </c>
      <c r="I480" s="587" t="s">
        <v>549</v>
      </c>
      <c r="J480" s="585">
        <v>1</v>
      </c>
      <c r="K480" s="585" t="s">
        <v>3450</v>
      </c>
      <c r="L480" s="678">
        <v>348</v>
      </c>
      <c r="M480" s="649" t="s">
        <v>2533</v>
      </c>
      <c r="N480" s="679">
        <v>67.071199999999919</v>
      </c>
      <c r="O480" s="679">
        <v>134.15400000000011</v>
      </c>
      <c r="P480" s="589" t="s">
        <v>2534</v>
      </c>
      <c r="Q480" s="680">
        <v>336.67839999999967</v>
      </c>
      <c r="R480" s="696"/>
      <c r="S480" s="553"/>
      <c r="T480" s="553"/>
      <c r="U480" s="553"/>
      <c r="V480" s="553"/>
      <c r="W480" s="553"/>
      <c r="X480" s="553"/>
      <c r="Y480" s="553"/>
      <c r="Z480" s="553"/>
      <c r="AA480" s="553"/>
      <c r="AB480" s="554"/>
      <c r="AC480" s="555"/>
      <c r="AD480" s="556"/>
      <c r="AE480" s="556"/>
      <c r="AF480" s="556"/>
      <c r="AG480" s="556"/>
    </row>
    <row r="481" spans="1:33">
      <c r="A481" s="585">
        <v>467</v>
      </c>
      <c r="B481" s="587" t="s">
        <v>4343</v>
      </c>
      <c r="C481" s="585">
        <v>467</v>
      </c>
      <c r="D481" s="629" t="s">
        <v>2303</v>
      </c>
      <c r="E481" s="586" t="s">
        <v>4344</v>
      </c>
      <c r="F481" s="675">
        <v>3.0097700000000002E-2</v>
      </c>
      <c r="G481" s="676">
        <v>2538.48</v>
      </c>
      <c r="H481" s="588">
        <v>487.2</v>
      </c>
      <c r="I481" s="587" t="s">
        <v>549</v>
      </c>
      <c r="J481" s="585">
        <v>1</v>
      </c>
      <c r="K481" s="585" t="s">
        <v>4345</v>
      </c>
      <c r="L481" s="678">
        <v>348</v>
      </c>
      <c r="M481" s="649" t="s">
        <v>2533</v>
      </c>
      <c r="N481" s="679">
        <v>67.071199999999919</v>
      </c>
      <c r="O481" s="679">
        <v>134.15400000000011</v>
      </c>
      <c r="P481" s="589" t="s">
        <v>2534</v>
      </c>
      <c r="Q481" s="680">
        <v>336.67839999999967</v>
      </c>
      <c r="R481" s="696"/>
      <c r="S481" s="553"/>
      <c r="T481" s="553"/>
      <c r="U481" s="553"/>
      <c r="V481" s="553"/>
      <c r="W481" s="553"/>
      <c r="X481" s="553"/>
      <c r="Y481" s="553"/>
      <c r="Z481" s="553"/>
      <c r="AA481" s="553"/>
      <c r="AB481" s="554"/>
      <c r="AC481" s="555"/>
      <c r="AD481" s="556"/>
      <c r="AE481" s="556"/>
      <c r="AF481" s="556"/>
      <c r="AG481" s="556"/>
    </row>
    <row r="482" spans="1:33">
      <c r="A482" s="585">
        <v>468</v>
      </c>
      <c r="B482" s="587" t="s">
        <v>10423</v>
      </c>
      <c r="C482" s="585">
        <v>468</v>
      </c>
      <c r="D482" s="629" t="s">
        <v>2303</v>
      </c>
      <c r="E482" s="586" t="s">
        <v>10459</v>
      </c>
      <c r="F482" s="675">
        <v>3.0098E-2</v>
      </c>
      <c r="G482" s="676">
        <v>2538.48</v>
      </c>
      <c r="H482" s="588">
        <v>487.2</v>
      </c>
      <c r="I482" s="587" t="s">
        <v>549</v>
      </c>
      <c r="J482" s="585">
        <v>1</v>
      </c>
      <c r="K482" s="585" t="s">
        <v>5163</v>
      </c>
      <c r="L482" s="678">
        <v>348</v>
      </c>
      <c r="M482" s="649" t="s">
        <v>2533</v>
      </c>
      <c r="N482" s="679">
        <v>67.071199999999919</v>
      </c>
      <c r="O482" s="679">
        <v>134.15400000000011</v>
      </c>
      <c r="P482" s="589" t="s">
        <v>2534</v>
      </c>
      <c r="Q482" s="680">
        <v>336.67839999999967</v>
      </c>
      <c r="R482" s="696"/>
      <c r="S482" s="553"/>
      <c r="T482" s="553"/>
      <c r="U482" s="553"/>
      <c r="V482" s="553"/>
      <c r="W482" s="553"/>
      <c r="X482" s="553"/>
      <c r="Y482" s="553"/>
      <c r="Z482" s="553"/>
      <c r="AA482" s="553"/>
      <c r="AB482" s="554"/>
      <c r="AC482" s="555"/>
      <c r="AD482" s="556"/>
      <c r="AE482" s="556"/>
      <c r="AF482" s="556"/>
      <c r="AG482" s="556"/>
    </row>
    <row r="483" spans="1:33">
      <c r="A483" s="585">
        <v>469</v>
      </c>
      <c r="B483" s="587" t="s">
        <v>4527</v>
      </c>
      <c r="C483" s="585">
        <v>469</v>
      </c>
      <c r="D483" s="629" t="s">
        <v>2303</v>
      </c>
      <c r="E483" s="586" t="s">
        <v>4533</v>
      </c>
      <c r="F483" s="675">
        <v>3.0097700000000002E-2</v>
      </c>
      <c r="G483" s="676">
        <v>2538.48</v>
      </c>
      <c r="H483" s="588">
        <v>487.2</v>
      </c>
      <c r="I483" s="587" t="s">
        <v>549</v>
      </c>
      <c r="J483" s="585">
        <v>1</v>
      </c>
      <c r="K483" s="585" t="s">
        <v>4539</v>
      </c>
      <c r="L483" s="678">
        <v>348</v>
      </c>
      <c r="M483" s="649" t="s">
        <v>2533</v>
      </c>
      <c r="N483" s="679">
        <v>67.071199999999919</v>
      </c>
      <c r="O483" s="679">
        <v>134.15400000000011</v>
      </c>
      <c r="P483" s="589" t="s">
        <v>2534</v>
      </c>
      <c r="Q483" s="680">
        <v>336.67839999999967</v>
      </c>
      <c r="R483" s="696"/>
      <c r="S483" s="553"/>
      <c r="T483" s="553"/>
      <c r="U483" s="553"/>
      <c r="V483" s="553"/>
      <c r="W483" s="553"/>
      <c r="X483" s="553"/>
      <c r="Y483" s="553"/>
      <c r="Z483" s="553"/>
      <c r="AA483" s="553"/>
      <c r="AB483" s="554"/>
      <c r="AC483" s="555"/>
      <c r="AD483" s="556"/>
      <c r="AE483" s="556"/>
      <c r="AF483" s="556"/>
      <c r="AG483" s="556"/>
    </row>
    <row r="484" spans="1:33">
      <c r="A484" s="585">
        <v>470</v>
      </c>
      <c r="B484" s="587" t="s">
        <v>10424</v>
      </c>
      <c r="C484" s="585">
        <v>470</v>
      </c>
      <c r="D484" s="629" t="s">
        <v>2303</v>
      </c>
      <c r="E484" s="586" t="s">
        <v>10460</v>
      </c>
      <c r="F484" s="675">
        <v>3.0098E-2</v>
      </c>
      <c r="G484" s="676">
        <v>2538.48</v>
      </c>
      <c r="H484" s="588">
        <v>487.2</v>
      </c>
      <c r="I484" s="587" t="s">
        <v>549</v>
      </c>
      <c r="J484" s="585">
        <v>1</v>
      </c>
      <c r="K484" s="585" t="s">
        <v>3452</v>
      </c>
      <c r="L484" s="678">
        <v>348</v>
      </c>
      <c r="M484" s="649" t="s">
        <v>2533</v>
      </c>
      <c r="N484" s="679">
        <v>67.071199999999919</v>
      </c>
      <c r="O484" s="679">
        <v>134.15400000000011</v>
      </c>
      <c r="P484" s="589" t="s">
        <v>2534</v>
      </c>
      <c r="Q484" s="680">
        <v>336.67839999999967</v>
      </c>
      <c r="R484" s="696"/>
      <c r="S484" s="553"/>
      <c r="T484" s="553"/>
      <c r="U484" s="553"/>
      <c r="V484" s="553"/>
      <c r="W484" s="553"/>
      <c r="X484" s="553"/>
      <c r="Y484" s="553"/>
      <c r="Z484" s="553"/>
      <c r="AA484" s="553"/>
      <c r="AB484" s="554"/>
      <c r="AC484" s="555"/>
      <c r="AD484" s="556"/>
      <c r="AE484" s="556"/>
      <c r="AF484" s="556"/>
      <c r="AG484" s="556"/>
    </row>
    <row r="485" spans="1:33">
      <c r="A485" s="585">
        <v>471</v>
      </c>
      <c r="B485" s="587" t="s">
        <v>2796</v>
      </c>
      <c r="C485" s="585">
        <v>471</v>
      </c>
      <c r="D485" s="629" t="s">
        <v>2303</v>
      </c>
      <c r="E485" s="586" t="s">
        <v>2303</v>
      </c>
      <c r="F485" s="675">
        <v>3.0097700000000002E-2</v>
      </c>
      <c r="G485" s="676">
        <v>2538.48</v>
      </c>
      <c r="H485" s="588">
        <v>487.2</v>
      </c>
      <c r="I485" s="587" t="s">
        <v>549</v>
      </c>
      <c r="J485" s="585">
        <v>1</v>
      </c>
      <c r="K485" s="585" t="s">
        <v>789</v>
      </c>
      <c r="L485" s="678">
        <v>348</v>
      </c>
      <c r="M485" s="649" t="s">
        <v>2533</v>
      </c>
      <c r="N485" s="679">
        <v>67.071199999999919</v>
      </c>
      <c r="O485" s="679">
        <v>134.15400000000011</v>
      </c>
      <c r="P485" s="589" t="s">
        <v>2534</v>
      </c>
      <c r="Q485" s="680">
        <v>336.67839999999967</v>
      </c>
      <c r="R485" s="696"/>
      <c r="S485" s="553"/>
      <c r="T485" s="553"/>
      <c r="U485" s="553"/>
      <c r="V485" s="553"/>
      <c r="W485" s="553"/>
      <c r="X485" s="553"/>
      <c r="Y485" s="553"/>
      <c r="Z485" s="553"/>
      <c r="AA485" s="553"/>
      <c r="AB485" s="554"/>
      <c r="AC485" s="555"/>
      <c r="AD485" s="556"/>
      <c r="AE485" s="556"/>
      <c r="AF485" s="556"/>
      <c r="AG485" s="556"/>
    </row>
    <row r="486" spans="1:33">
      <c r="A486" s="585">
        <v>472</v>
      </c>
      <c r="B486" s="587" t="s">
        <v>3319</v>
      </c>
      <c r="C486" s="585">
        <v>472</v>
      </c>
      <c r="D486" s="629" t="s">
        <v>2303</v>
      </c>
      <c r="E486" s="586" t="s">
        <v>3329</v>
      </c>
      <c r="F486" s="675">
        <v>3.0097700000000002E-2</v>
      </c>
      <c r="G486" s="676">
        <v>2538.48</v>
      </c>
      <c r="H486" s="588">
        <v>487.2</v>
      </c>
      <c r="I486" s="587" t="s">
        <v>549</v>
      </c>
      <c r="J486" s="585">
        <v>1</v>
      </c>
      <c r="K486" s="585" t="s">
        <v>3326</v>
      </c>
      <c r="L486" s="678">
        <v>348</v>
      </c>
      <c r="M486" s="649" t="s">
        <v>2533</v>
      </c>
      <c r="N486" s="679">
        <v>67.071199999999919</v>
      </c>
      <c r="O486" s="679">
        <v>134.15400000000011</v>
      </c>
      <c r="P486" s="589" t="s">
        <v>2534</v>
      </c>
      <c r="Q486" s="680">
        <v>336.67839999999967</v>
      </c>
      <c r="R486" s="696"/>
      <c r="S486" s="553"/>
      <c r="T486" s="553"/>
      <c r="U486" s="553"/>
      <c r="V486" s="553"/>
      <c r="W486" s="553"/>
      <c r="X486" s="553"/>
      <c r="Y486" s="553"/>
      <c r="Z486" s="553"/>
      <c r="AA486" s="553"/>
      <c r="AB486" s="554"/>
      <c r="AC486" s="555"/>
      <c r="AD486" s="556"/>
      <c r="AE486" s="556"/>
      <c r="AF486" s="556"/>
      <c r="AG486" s="556"/>
    </row>
    <row r="487" spans="1:33">
      <c r="A487" s="585">
        <v>473</v>
      </c>
      <c r="B487" s="587" t="s">
        <v>3406</v>
      </c>
      <c r="C487" s="585">
        <v>473</v>
      </c>
      <c r="D487" s="629" t="s">
        <v>2303</v>
      </c>
      <c r="E487" s="586" t="s">
        <v>3432</v>
      </c>
      <c r="F487" s="675">
        <v>3.0097700000000002E-2</v>
      </c>
      <c r="G487" s="676">
        <v>2538.48</v>
      </c>
      <c r="H487" s="588">
        <v>487.2</v>
      </c>
      <c r="I487" s="587" t="s">
        <v>549</v>
      </c>
      <c r="J487" s="585">
        <v>1</v>
      </c>
      <c r="K487" s="585" t="s">
        <v>3451</v>
      </c>
      <c r="L487" s="678">
        <v>348</v>
      </c>
      <c r="M487" s="649" t="s">
        <v>2533</v>
      </c>
      <c r="N487" s="679">
        <v>67.071199999999919</v>
      </c>
      <c r="O487" s="679">
        <v>134.15400000000011</v>
      </c>
      <c r="P487" s="589" t="s">
        <v>2534</v>
      </c>
      <c r="Q487" s="680">
        <v>336.67839999999967</v>
      </c>
      <c r="R487" s="696"/>
      <c r="S487" s="553"/>
      <c r="T487" s="553"/>
      <c r="U487" s="553"/>
      <c r="V487" s="553"/>
      <c r="W487" s="553"/>
      <c r="X487" s="553"/>
      <c r="Y487" s="553"/>
      <c r="Z487" s="553"/>
      <c r="AA487" s="553"/>
      <c r="AB487" s="554"/>
      <c r="AC487" s="555"/>
      <c r="AD487" s="556"/>
      <c r="AE487" s="556"/>
      <c r="AF487" s="556"/>
      <c r="AG487" s="556"/>
    </row>
    <row r="488" spans="1:33">
      <c r="A488" s="585">
        <v>474</v>
      </c>
      <c r="B488" s="587" t="s">
        <v>10425</v>
      </c>
      <c r="C488" s="585">
        <v>474</v>
      </c>
      <c r="D488" s="629" t="s">
        <v>2303</v>
      </c>
      <c r="E488" s="586" t="s">
        <v>10461</v>
      </c>
      <c r="F488" s="675">
        <v>5.4182000000000001E-2</v>
      </c>
      <c r="G488" s="676">
        <v>2538.48</v>
      </c>
      <c r="H488" s="588">
        <v>487.2</v>
      </c>
      <c r="I488" s="587" t="s">
        <v>549</v>
      </c>
      <c r="J488" s="585">
        <v>1</v>
      </c>
      <c r="K488" s="585" t="s">
        <v>10489</v>
      </c>
      <c r="L488" s="678">
        <v>348</v>
      </c>
      <c r="M488" s="649" t="s">
        <v>2533</v>
      </c>
      <c r="N488" s="679">
        <v>67.071199999999919</v>
      </c>
      <c r="O488" s="679">
        <v>134.15399999999985</v>
      </c>
      <c r="P488" s="589" t="s">
        <v>2534</v>
      </c>
      <c r="Q488" s="680">
        <v>336.67840000000001</v>
      </c>
      <c r="R488" s="696"/>
      <c r="S488" s="553"/>
      <c r="T488" s="553"/>
      <c r="U488" s="553"/>
      <c r="V488" s="553"/>
      <c r="W488" s="553"/>
      <c r="X488" s="553"/>
      <c r="Y488" s="553"/>
      <c r="Z488" s="553"/>
      <c r="AA488" s="553"/>
      <c r="AB488" s="554"/>
      <c r="AC488" s="555"/>
      <c r="AD488" s="556"/>
      <c r="AE488" s="556"/>
      <c r="AF488" s="556"/>
      <c r="AG488" s="556"/>
    </row>
    <row r="489" spans="1:33">
      <c r="A489" s="585">
        <v>475</v>
      </c>
      <c r="B489" s="587" t="s">
        <v>10426</v>
      </c>
      <c r="C489" s="585">
        <v>475</v>
      </c>
      <c r="D489" s="629" t="s">
        <v>2303</v>
      </c>
      <c r="E489" s="586" t="s">
        <v>10462</v>
      </c>
      <c r="F489" s="675">
        <v>5.4182000000000001E-2</v>
      </c>
      <c r="G489" s="676">
        <v>2538.48</v>
      </c>
      <c r="H489" s="588">
        <v>487.2</v>
      </c>
      <c r="I489" s="587" t="s">
        <v>549</v>
      </c>
      <c r="J489" s="585">
        <v>1</v>
      </c>
      <c r="K489" s="585" t="s">
        <v>10490</v>
      </c>
      <c r="L489" s="678">
        <v>348</v>
      </c>
      <c r="M489" s="649" t="s">
        <v>2533</v>
      </c>
      <c r="N489" s="679">
        <v>67.071199999999919</v>
      </c>
      <c r="O489" s="679">
        <v>134.15399999999985</v>
      </c>
      <c r="P489" s="589" t="s">
        <v>2534</v>
      </c>
      <c r="Q489" s="680">
        <v>336.67840000000001</v>
      </c>
      <c r="R489" s="696"/>
      <c r="S489" s="553"/>
      <c r="T489" s="553"/>
      <c r="U489" s="553"/>
      <c r="V489" s="553"/>
      <c r="W489" s="553"/>
      <c r="X489" s="553"/>
      <c r="Y489" s="553"/>
      <c r="Z489" s="553"/>
      <c r="AA489" s="553"/>
      <c r="AB489" s="554"/>
      <c r="AC489" s="555"/>
      <c r="AD489" s="556"/>
      <c r="AE489" s="556"/>
      <c r="AF489" s="556"/>
      <c r="AG489" s="556"/>
    </row>
    <row r="490" spans="1:33">
      <c r="A490" s="585">
        <v>476</v>
      </c>
      <c r="B490" s="587" t="s">
        <v>10427</v>
      </c>
      <c r="C490" s="585">
        <v>476</v>
      </c>
      <c r="D490" s="629" t="s">
        <v>2303</v>
      </c>
      <c r="E490" s="586" t="s">
        <v>10463</v>
      </c>
      <c r="F490" s="675">
        <v>5.4182000000000001E-2</v>
      </c>
      <c r="G490" s="676">
        <v>2538.48</v>
      </c>
      <c r="H490" s="588">
        <v>487.2</v>
      </c>
      <c r="I490" s="587" t="s">
        <v>549</v>
      </c>
      <c r="J490" s="585">
        <v>1</v>
      </c>
      <c r="K490" s="585" t="s">
        <v>10491</v>
      </c>
      <c r="L490" s="678">
        <v>348</v>
      </c>
      <c r="M490" s="649" t="s">
        <v>2533</v>
      </c>
      <c r="N490" s="679">
        <v>67.071199999999919</v>
      </c>
      <c r="O490" s="679">
        <v>134.15399999999985</v>
      </c>
      <c r="P490" s="589" t="s">
        <v>2534</v>
      </c>
      <c r="Q490" s="680">
        <v>336.67840000000001</v>
      </c>
      <c r="R490" s="696"/>
      <c r="S490" s="553"/>
      <c r="T490" s="553"/>
      <c r="U490" s="553"/>
      <c r="V490" s="553"/>
      <c r="W490" s="553"/>
      <c r="X490" s="553"/>
      <c r="Y490" s="553"/>
      <c r="Z490" s="553"/>
      <c r="AA490" s="553"/>
      <c r="AB490" s="554"/>
      <c r="AC490" s="555"/>
      <c r="AD490" s="556"/>
      <c r="AE490" s="556"/>
      <c r="AF490" s="556"/>
      <c r="AG490" s="556"/>
    </row>
    <row r="491" spans="1:33">
      <c r="A491" s="585">
        <v>477</v>
      </c>
      <c r="B491" s="587" t="s">
        <v>3602</v>
      </c>
      <c r="C491" s="585">
        <v>477</v>
      </c>
      <c r="D491" s="629" t="s">
        <v>2303</v>
      </c>
      <c r="E491" s="586" t="s">
        <v>3776</v>
      </c>
      <c r="F491" s="675">
        <v>3.0097700000000002E-2</v>
      </c>
      <c r="G491" s="676">
        <v>2538.48</v>
      </c>
      <c r="H491" s="588">
        <v>487.2</v>
      </c>
      <c r="I491" s="587" t="s">
        <v>549</v>
      </c>
      <c r="J491" s="585">
        <v>1</v>
      </c>
      <c r="K491" s="585" t="s">
        <v>3690</v>
      </c>
      <c r="L491" s="678">
        <v>348</v>
      </c>
      <c r="M491" s="649" t="s">
        <v>2533</v>
      </c>
      <c r="N491" s="679">
        <v>67.071199999999919</v>
      </c>
      <c r="O491" s="679">
        <v>134.15400000000011</v>
      </c>
      <c r="P491" s="589" t="s">
        <v>2534</v>
      </c>
      <c r="Q491" s="680">
        <v>336.67839999999967</v>
      </c>
      <c r="R491" s="696"/>
      <c r="S491" s="553"/>
      <c r="T491" s="553"/>
      <c r="U491" s="553"/>
      <c r="V491" s="553"/>
      <c r="W491" s="553"/>
      <c r="X491" s="553"/>
      <c r="Y491" s="553"/>
      <c r="Z491" s="553"/>
      <c r="AA491" s="553"/>
      <c r="AB491" s="554"/>
      <c r="AC491" s="555"/>
      <c r="AD491" s="556"/>
      <c r="AE491" s="556"/>
      <c r="AF491" s="556"/>
      <c r="AG491" s="556"/>
    </row>
    <row r="492" spans="1:33">
      <c r="A492" s="585">
        <v>478</v>
      </c>
      <c r="B492" s="587" t="s">
        <v>3603</v>
      </c>
      <c r="C492" s="585">
        <v>478</v>
      </c>
      <c r="D492" s="629" t="s">
        <v>2303</v>
      </c>
      <c r="E492" s="586" t="s">
        <v>3777</v>
      </c>
      <c r="F492" s="675">
        <v>3.0097700000000002E-2</v>
      </c>
      <c r="G492" s="676">
        <v>2538.48</v>
      </c>
      <c r="H492" s="588">
        <v>487.2</v>
      </c>
      <c r="I492" s="587" t="s">
        <v>549</v>
      </c>
      <c r="J492" s="585">
        <v>1</v>
      </c>
      <c r="K492" s="585" t="s">
        <v>3691</v>
      </c>
      <c r="L492" s="678">
        <v>348</v>
      </c>
      <c r="M492" s="649" t="s">
        <v>2533</v>
      </c>
      <c r="N492" s="679">
        <v>67.071199999999919</v>
      </c>
      <c r="O492" s="679">
        <v>134.15400000000011</v>
      </c>
      <c r="P492" s="589" t="s">
        <v>2534</v>
      </c>
      <c r="Q492" s="680">
        <v>336.67839999999967</v>
      </c>
      <c r="R492" s="696"/>
      <c r="S492" s="553"/>
      <c r="T492" s="553"/>
      <c r="U492" s="553"/>
      <c r="V492" s="553"/>
      <c r="W492" s="553"/>
      <c r="X492" s="553"/>
      <c r="Y492" s="553"/>
      <c r="Z492" s="553"/>
      <c r="AA492" s="553"/>
      <c r="AB492" s="554"/>
      <c r="AC492" s="555"/>
      <c r="AD492" s="556"/>
      <c r="AE492" s="556"/>
      <c r="AF492" s="556"/>
      <c r="AG492" s="556"/>
    </row>
    <row r="493" spans="1:33">
      <c r="A493" s="585">
        <v>479</v>
      </c>
      <c r="B493" s="587" t="s">
        <v>2799</v>
      </c>
      <c r="C493" s="585">
        <v>479</v>
      </c>
      <c r="D493" s="629" t="s">
        <v>2303</v>
      </c>
      <c r="E493" s="586" t="s">
        <v>288</v>
      </c>
      <c r="F493" s="675">
        <v>5.0458100000000006E-2</v>
      </c>
      <c r="G493" s="676">
        <v>3463.0023344000001</v>
      </c>
      <c r="H493" s="588">
        <v>487.2</v>
      </c>
      <c r="I493" s="587" t="s">
        <v>601</v>
      </c>
      <c r="J493" s="585">
        <v>2</v>
      </c>
      <c r="K493" s="585" t="s">
        <v>790</v>
      </c>
      <c r="L493" s="678">
        <v>348</v>
      </c>
      <c r="M493" s="649" t="s">
        <v>2533</v>
      </c>
      <c r="N493" s="679">
        <v>121.62599999999989</v>
      </c>
      <c r="O493" s="679">
        <v>243.24040000000008</v>
      </c>
      <c r="P493" s="589" t="s">
        <v>2534</v>
      </c>
      <c r="Q493" s="680">
        <v>336.67839999999967</v>
      </c>
      <c r="R493" s="696"/>
      <c r="S493" s="553"/>
      <c r="T493" s="553"/>
      <c r="U493" s="553"/>
      <c r="V493" s="553"/>
      <c r="W493" s="553"/>
      <c r="X493" s="553"/>
      <c r="Y493" s="553"/>
      <c r="Z493" s="553"/>
      <c r="AA493" s="553"/>
      <c r="AB493" s="554"/>
      <c r="AC493" s="555"/>
      <c r="AD493" s="556"/>
      <c r="AE493" s="556"/>
      <c r="AF493" s="556"/>
      <c r="AG493" s="556"/>
    </row>
    <row r="494" spans="1:33">
      <c r="A494" s="585">
        <v>480</v>
      </c>
      <c r="B494" s="587" t="s">
        <v>2800</v>
      </c>
      <c r="C494" s="585">
        <v>480</v>
      </c>
      <c r="D494" s="629" t="s">
        <v>2303</v>
      </c>
      <c r="E494" s="586" t="s">
        <v>289</v>
      </c>
      <c r="F494" s="675">
        <v>5.0578399999999996E-2</v>
      </c>
      <c r="G494" s="676">
        <v>3463.0023344000001</v>
      </c>
      <c r="H494" s="588">
        <v>487.2</v>
      </c>
      <c r="I494" s="587" t="s">
        <v>601</v>
      </c>
      <c r="J494" s="585">
        <v>2</v>
      </c>
      <c r="K494" s="585" t="s">
        <v>791</v>
      </c>
      <c r="L494" s="678">
        <v>348</v>
      </c>
      <c r="M494" s="649" t="s">
        <v>2533</v>
      </c>
      <c r="N494" s="679">
        <v>121.62599999999989</v>
      </c>
      <c r="O494" s="679">
        <v>243.24040000000008</v>
      </c>
      <c r="P494" s="589" t="s">
        <v>2534</v>
      </c>
      <c r="Q494" s="680">
        <v>336.67839999999967</v>
      </c>
      <c r="R494" s="696"/>
      <c r="S494" s="553"/>
      <c r="T494" s="553"/>
      <c r="U494" s="553"/>
      <c r="V494" s="553"/>
      <c r="W494" s="553"/>
      <c r="X494" s="553"/>
      <c r="Y494" s="553"/>
      <c r="Z494" s="553"/>
      <c r="AA494" s="553"/>
      <c r="AB494" s="554"/>
      <c r="AC494" s="555"/>
      <c r="AD494" s="556"/>
      <c r="AE494" s="556"/>
      <c r="AF494" s="556"/>
      <c r="AG494" s="556"/>
    </row>
    <row r="495" spans="1:33">
      <c r="A495" s="585">
        <v>481</v>
      </c>
      <c r="B495" s="587" t="s">
        <v>2801</v>
      </c>
      <c r="C495" s="585">
        <v>481</v>
      </c>
      <c r="D495" s="629" t="s">
        <v>2303</v>
      </c>
      <c r="E495" s="586" t="s">
        <v>290</v>
      </c>
      <c r="F495" s="675">
        <v>3.0097700000000002E-2</v>
      </c>
      <c r="G495" s="676">
        <v>2538.48</v>
      </c>
      <c r="H495" s="588">
        <v>487.2</v>
      </c>
      <c r="I495" s="587" t="s">
        <v>549</v>
      </c>
      <c r="J495" s="585">
        <v>1</v>
      </c>
      <c r="K495" s="585" t="s">
        <v>792</v>
      </c>
      <c r="L495" s="678">
        <v>348</v>
      </c>
      <c r="M495" s="649" t="s">
        <v>2533</v>
      </c>
      <c r="N495" s="679">
        <v>67.071199999999919</v>
      </c>
      <c r="O495" s="679">
        <v>134.15400000000011</v>
      </c>
      <c r="P495" s="589" t="s">
        <v>2534</v>
      </c>
      <c r="Q495" s="680">
        <v>336.67839999999967</v>
      </c>
      <c r="R495" s="696"/>
      <c r="S495" s="553"/>
      <c r="T495" s="553"/>
      <c r="U495" s="553"/>
      <c r="V495" s="553"/>
      <c r="W495" s="553"/>
      <c r="X495" s="553"/>
      <c r="Y495" s="553"/>
      <c r="Z495" s="553"/>
      <c r="AA495" s="553"/>
      <c r="AB495" s="554"/>
      <c r="AC495" s="555"/>
      <c r="AD495" s="556"/>
      <c r="AE495" s="556"/>
      <c r="AF495" s="556"/>
      <c r="AG495" s="556"/>
    </row>
    <row r="496" spans="1:33">
      <c r="A496" s="585">
        <v>482</v>
      </c>
      <c r="B496" s="587" t="s">
        <v>3352</v>
      </c>
      <c r="C496" s="585">
        <v>482</v>
      </c>
      <c r="D496" s="629" t="s">
        <v>2303</v>
      </c>
      <c r="E496" s="586" t="s">
        <v>3363</v>
      </c>
      <c r="F496" s="675">
        <v>3.0097700000000002E-2</v>
      </c>
      <c r="G496" s="676">
        <v>2538.48</v>
      </c>
      <c r="H496" s="588">
        <v>487.2</v>
      </c>
      <c r="I496" s="587" t="s">
        <v>549</v>
      </c>
      <c r="J496" s="585">
        <v>1</v>
      </c>
      <c r="K496" s="585" t="s">
        <v>3452</v>
      </c>
      <c r="L496" s="678">
        <v>348</v>
      </c>
      <c r="M496" s="649" t="s">
        <v>2533</v>
      </c>
      <c r="N496" s="679">
        <v>67.071199999999919</v>
      </c>
      <c r="O496" s="679">
        <v>134.15400000000011</v>
      </c>
      <c r="P496" s="589" t="s">
        <v>2534</v>
      </c>
      <c r="Q496" s="680">
        <v>336.67839999999967</v>
      </c>
      <c r="R496" s="696"/>
      <c r="S496" s="553"/>
      <c r="T496" s="553"/>
      <c r="U496" s="553"/>
      <c r="V496" s="553"/>
      <c r="W496" s="553"/>
      <c r="X496" s="553"/>
      <c r="Y496" s="553"/>
      <c r="Z496" s="553"/>
      <c r="AA496" s="553"/>
      <c r="AB496" s="554"/>
      <c r="AC496" s="555"/>
      <c r="AD496" s="556"/>
      <c r="AE496" s="556"/>
      <c r="AF496" s="556"/>
      <c r="AG496" s="556"/>
    </row>
    <row r="497" spans="1:33">
      <c r="A497" s="585">
        <v>483</v>
      </c>
      <c r="B497" s="587" t="s">
        <v>3353</v>
      </c>
      <c r="C497" s="585">
        <v>483</v>
      </c>
      <c r="D497" s="629" t="s">
        <v>2303</v>
      </c>
      <c r="E497" s="586" t="s">
        <v>3364</v>
      </c>
      <c r="F497" s="675">
        <v>4.2054799999999996E-2</v>
      </c>
      <c r="G497" s="676">
        <v>2538.48</v>
      </c>
      <c r="H497" s="588">
        <v>487.2</v>
      </c>
      <c r="I497" s="587" t="s">
        <v>549</v>
      </c>
      <c r="J497" s="585">
        <v>1</v>
      </c>
      <c r="K497" s="585" t="s">
        <v>3374</v>
      </c>
      <c r="L497" s="678">
        <v>348</v>
      </c>
      <c r="M497" s="649" t="s">
        <v>2533</v>
      </c>
      <c r="N497" s="679">
        <v>67.071199999999919</v>
      </c>
      <c r="O497" s="679">
        <v>134.15400000000011</v>
      </c>
      <c r="P497" s="589" t="s">
        <v>2534</v>
      </c>
      <c r="Q497" s="680">
        <v>336.67839999999967</v>
      </c>
      <c r="R497" s="696"/>
      <c r="S497" s="553"/>
      <c r="T497" s="553"/>
      <c r="U497" s="553"/>
      <c r="V497" s="553"/>
      <c r="W497" s="553"/>
      <c r="X497" s="553"/>
      <c r="Y497" s="553"/>
      <c r="Z497" s="553"/>
      <c r="AA497" s="553"/>
      <c r="AB497" s="554"/>
      <c r="AC497" s="555"/>
      <c r="AD497" s="556"/>
      <c r="AE497" s="556"/>
      <c r="AF497" s="556"/>
      <c r="AG497" s="556"/>
    </row>
    <row r="498" spans="1:33">
      <c r="A498" s="585">
        <v>484</v>
      </c>
      <c r="B498" s="587" t="s">
        <v>2802</v>
      </c>
      <c r="C498" s="585">
        <v>484</v>
      </c>
      <c r="D498" s="629" t="s">
        <v>2303</v>
      </c>
      <c r="E498" s="586" t="s">
        <v>291</v>
      </c>
      <c r="F498" s="675">
        <v>5.0458100000000006E-2</v>
      </c>
      <c r="G498" s="676">
        <v>3463.0023344000001</v>
      </c>
      <c r="H498" s="588">
        <v>487.2</v>
      </c>
      <c r="I498" s="587" t="s">
        <v>601</v>
      </c>
      <c r="J498" s="585">
        <v>2</v>
      </c>
      <c r="K498" s="585" t="s">
        <v>793</v>
      </c>
      <c r="L498" s="678">
        <v>348</v>
      </c>
      <c r="M498" s="649" t="s">
        <v>2533</v>
      </c>
      <c r="N498" s="679">
        <v>121.62599999999989</v>
      </c>
      <c r="O498" s="679">
        <v>243.24040000000008</v>
      </c>
      <c r="P498" s="589" t="s">
        <v>2534</v>
      </c>
      <c r="Q498" s="680">
        <v>336.67839999999967</v>
      </c>
      <c r="R498" s="696"/>
      <c r="S498" s="553"/>
      <c r="T498" s="553"/>
      <c r="U498" s="553"/>
      <c r="V498" s="553"/>
      <c r="W498" s="553"/>
      <c r="X498" s="553"/>
      <c r="Y498" s="553"/>
      <c r="Z498" s="553"/>
      <c r="AA498" s="553"/>
      <c r="AB498" s="554"/>
      <c r="AC498" s="555"/>
      <c r="AD498" s="556"/>
      <c r="AE498" s="556"/>
      <c r="AF498" s="556"/>
      <c r="AG498" s="556"/>
    </row>
    <row r="499" spans="1:33">
      <c r="A499" s="585">
        <v>485</v>
      </c>
      <c r="B499" s="587" t="s">
        <v>2803</v>
      </c>
      <c r="C499" s="585">
        <v>485</v>
      </c>
      <c r="D499" s="629" t="s">
        <v>2303</v>
      </c>
      <c r="E499" s="586" t="s">
        <v>292</v>
      </c>
      <c r="F499" s="675">
        <v>3.0097700000000002E-2</v>
      </c>
      <c r="G499" s="676">
        <v>2538.48</v>
      </c>
      <c r="H499" s="588">
        <v>487.2</v>
      </c>
      <c r="I499" s="587" t="s">
        <v>549</v>
      </c>
      <c r="J499" s="585">
        <v>1</v>
      </c>
      <c r="K499" s="585" t="s">
        <v>794</v>
      </c>
      <c r="L499" s="678">
        <v>348</v>
      </c>
      <c r="M499" s="649" t="s">
        <v>2533</v>
      </c>
      <c r="N499" s="679">
        <v>67.071199999999919</v>
      </c>
      <c r="O499" s="679">
        <v>134.15400000000011</v>
      </c>
      <c r="P499" s="589" t="s">
        <v>2534</v>
      </c>
      <c r="Q499" s="680">
        <v>336.67839999999967</v>
      </c>
      <c r="R499" s="696"/>
      <c r="S499" s="553"/>
      <c r="T499" s="553"/>
      <c r="U499" s="553"/>
      <c r="V499" s="553"/>
      <c r="W499" s="553"/>
      <c r="X499" s="553"/>
      <c r="Y499" s="553"/>
      <c r="Z499" s="553"/>
      <c r="AA499" s="553"/>
      <c r="AB499" s="554"/>
      <c r="AC499" s="555"/>
      <c r="AD499" s="556"/>
      <c r="AE499" s="556"/>
      <c r="AF499" s="556"/>
      <c r="AG499" s="556"/>
    </row>
    <row r="500" spans="1:33">
      <c r="A500" s="585">
        <v>486</v>
      </c>
      <c r="B500" s="587" t="s">
        <v>3346</v>
      </c>
      <c r="C500" s="585">
        <v>486</v>
      </c>
      <c r="D500" s="629" t="s">
        <v>2304</v>
      </c>
      <c r="E500" s="586" t="s">
        <v>3337</v>
      </c>
      <c r="F500" s="675">
        <v>4.0235200000000006E-2</v>
      </c>
      <c r="G500" s="676">
        <v>2538.48</v>
      </c>
      <c r="H500" s="588">
        <v>487.2</v>
      </c>
      <c r="I500" s="587" t="s">
        <v>549</v>
      </c>
      <c r="J500" s="585">
        <v>1</v>
      </c>
      <c r="K500" s="585" t="s">
        <v>3338</v>
      </c>
      <c r="L500" s="678">
        <v>348</v>
      </c>
      <c r="M500" s="649" t="s">
        <v>2533</v>
      </c>
      <c r="N500" s="679">
        <v>67.071199999999919</v>
      </c>
      <c r="O500" s="679">
        <v>134.15400000000011</v>
      </c>
      <c r="P500" s="589" t="s">
        <v>2534</v>
      </c>
      <c r="Q500" s="680">
        <v>336.67839999999967</v>
      </c>
      <c r="R500" s="696"/>
      <c r="S500" s="553"/>
      <c r="T500" s="553"/>
      <c r="U500" s="553"/>
      <c r="V500" s="553"/>
      <c r="W500" s="553"/>
      <c r="X500" s="553"/>
      <c r="Y500" s="553"/>
      <c r="Z500" s="553"/>
      <c r="AA500" s="553"/>
      <c r="AB500" s="554"/>
      <c r="AC500" s="555"/>
      <c r="AD500" s="556"/>
      <c r="AE500" s="556"/>
      <c r="AF500" s="556"/>
      <c r="AG500" s="556"/>
    </row>
    <row r="501" spans="1:33">
      <c r="A501" s="585">
        <v>487</v>
      </c>
      <c r="B501" s="587" t="s">
        <v>2804</v>
      </c>
      <c r="C501" s="585">
        <v>487</v>
      </c>
      <c r="D501" s="629" t="s">
        <v>2304</v>
      </c>
      <c r="E501" s="586" t="s">
        <v>293</v>
      </c>
      <c r="F501" s="675">
        <v>4.1959600000000007E-2</v>
      </c>
      <c r="G501" s="676">
        <v>2538.48</v>
      </c>
      <c r="H501" s="588">
        <v>487.2</v>
      </c>
      <c r="I501" s="587" t="s">
        <v>549</v>
      </c>
      <c r="J501" s="585">
        <v>1</v>
      </c>
      <c r="K501" s="585" t="s">
        <v>795</v>
      </c>
      <c r="L501" s="678">
        <v>348</v>
      </c>
      <c r="M501" s="649" t="s">
        <v>2533</v>
      </c>
      <c r="N501" s="679">
        <v>67.071199999999919</v>
      </c>
      <c r="O501" s="679">
        <v>134.15400000000011</v>
      </c>
      <c r="P501" s="589" t="s">
        <v>2534</v>
      </c>
      <c r="Q501" s="680">
        <v>336.67839999999967</v>
      </c>
      <c r="R501" s="696"/>
      <c r="S501" s="553"/>
      <c r="T501" s="553"/>
      <c r="U501" s="553"/>
      <c r="V501" s="553"/>
      <c r="W501" s="553"/>
      <c r="X501" s="553"/>
      <c r="Y501" s="553"/>
      <c r="Z501" s="553"/>
      <c r="AA501" s="553"/>
      <c r="AB501" s="554"/>
      <c r="AC501" s="555"/>
      <c r="AD501" s="556"/>
      <c r="AE501" s="556"/>
      <c r="AF501" s="556"/>
      <c r="AG501" s="556"/>
    </row>
    <row r="502" spans="1:33">
      <c r="A502" s="585">
        <v>488</v>
      </c>
      <c r="B502" s="587" t="s">
        <v>2805</v>
      </c>
      <c r="C502" s="585">
        <v>488</v>
      </c>
      <c r="D502" s="629" t="s">
        <v>2304</v>
      </c>
      <c r="E502" s="586" t="s">
        <v>294</v>
      </c>
      <c r="F502" s="675">
        <v>4.0206799999999994E-2</v>
      </c>
      <c r="G502" s="676">
        <v>2538.48</v>
      </c>
      <c r="H502" s="588">
        <v>487.2</v>
      </c>
      <c r="I502" s="587" t="s">
        <v>549</v>
      </c>
      <c r="J502" s="585">
        <v>1</v>
      </c>
      <c r="K502" s="585" t="s">
        <v>796</v>
      </c>
      <c r="L502" s="678">
        <v>348</v>
      </c>
      <c r="M502" s="649" t="s">
        <v>2533</v>
      </c>
      <c r="N502" s="679">
        <v>67.071199999999919</v>
      </c>
      <c r="O502" s="679">
        <v>134.15400000000011</v>
      </c>
      <c r="P502" s="589" t="s">
        <v>2534</v>
      </c>
      <c r="Q502" s="680">
        <v>336.67839999999967</v>
      </c>
      <c r="R502" s="696"/>
      <c r="S502" s="553"/>
      <c r="T502" s="553"/>
      <c r="U502" s="553"/>
      <c r="V502" s="553"/>
      <c r="W502" s="553"/>
      <c r="X502" s="553"/>
      <c r="Y502" s="553"/>
      <c r="Z502" s="553"/>
      <c r="AA502" s="553"/>
      <c r="AB502" s="554"/>
      <c r="AC502" s="555"/>
      <c r="AD502" s="556"/>
      <c r="AE502" s="556"/>
      <c r="AF502" s="556"/>
      <c r="AG502" s="556"/>
    </row>
    <row r="503" spans="1:33">
      <c r="A503" s="585">
        <v>489</v>
      </c>
      <c r="B503" s="587" t="s">
        <v>2806</v>
      </c>
      <c r="C503" s="585">
        <v>489</v>
      </c>
      <c r="D503" s="629" t="s">
        <v>2304</v>
      </c>
      <c r="E503" s="586" t="s">
        <v>295</v>
      </c>
      <c r="F503" s="675">
        <v>4.1959600000000007E-2</v>
      </c>
      <c r="G503" s="676">
        <v>2538.48</v>
      </c>
      <c r="H503" s="588">
        <v>487.2</v>
      </c>
      <c r="I503" s="587" t="s">
        <v>549</v>
      </c>
      <c r="J503" s="585">
        <v>1</v>
      </c>
      <c r="K503" s="585" t="s">
        <v>797</v>
      </c>
      <c r="L503" s="678">
        <v>348</v>
      </c>
      <c r="M503" s="649" t="s">
        <v>2533</v>
      </c>
      <c r="N503" s="679">
        <v>67.071199999999919</v>
      </c>
      <c r="O503" s="679">
        <v>134.15400000000011</v>
      </c>
      <c r="P503" s="589" t="s">
        <v>2534</v>
      </c>
      <c r="Q503" s="680">
        <v>336.67839999999967</v>
      </c>
      <c r="R503" s="696"/>
      <c r="S503" s="553"/>
      <c r="T503" s="553"/>
      <c r="U503" s="553"/>
      <c r="V503" s="553"/>
      <c r="W503" s="553"/>
      <c r="X503" s="553"/>
      <c r="Y503" s="553"/>
      <c r="Z503" s="553"/>
      <c r="AA503" s="553"/>
      <c r="AB503" s="554"/>
      <c r="AC503" s="555"/>
      <c r="AD503" s="556"/>
      <c r="AE503" s="556"/>
      <c r="AF503" s="556"/>
      <c r="AG503" s="556"/>
    </row>
    <row r="504" spans="1:33">
      <c r="A504" s="585">
        <v>490</v>
      </c>
      <c r="B504" s="587" t="s">
        <v>2807</v>
      </c>
      <c r="C504" s="585">
        <v>490</v>
      </c>
      <c r="D504" s="629" t="s">
        <v>2304</v>
      </c>
      <c r="E504" s="586" t="s">
        <v>296</v>
      </c>
      <c r="F504" s="675">
        <v>4.0521200000000007E-2</v>
      </c>
      <c r="G504" s="676">
        <v>2538.48</v>
      </c>
      <c r="H504" s="588">
        <v>487.2</v>
      </c>
      <c r="I504" s="587" t="s">
        <v>549</v>
      </c>
      <c r="J504" s="585">
        <v>1</v>
      </c>
      <c r="K504" s="585" t="s">
        <v>798</v>
      </c>
      <c r="L504" s="678">
        <v>348</v>
      </c>
      <c r="M504" s="649" t="s">
        <v>2533</v>
      </c>
      <c r="N504" s="679">
        <v>67.071199999999919</v>
      </c>
      <c r="O504" s="679">
        <v>134.15400000000011</v>
      </c>
      <c r="P504" s="589" t="s">
        <v>2534</v>
      </c>
      <c r="Q504" s="680">
        <v>336.67839999999967</v>
      </c>
      <c r="R504" s="696"/>
      <c r="S504" s="553"/>
      <c r="T504" s="553"/>
      <c r="U504" s="553"/>
      <c r="V504" s="553"/>
      <c r="W504" s="553"/>
      <c r="X504" s="553"/>
      <c r="Y504" s="553"/>
      <c r="Z504" s="553"/>
      <c r="AA504" s="553"/>
      <c r="AB504" s="554"/>
      <c r="AC504" s="555"/>
      <c r="AD504" s="556"/>
      <c r="AE504" s="556"/>
      <c r="AF504" s="556"/>
      <c r="AG504" s="556"/>
    </row>
    <row r="505" spans="1:33">
      <c r="A505" s="585">
        <v>491</v>
      </c>
      <c r="B505" s="587" t="s">
        <v>2808</v>
      </c>
      <c r="C505" s="585">
        <v>491</v>
      </c>
      <c r="D505" s="629" t="s">
        <v>2304</v>
      </c>
      <c r="E505" s="586" t="s">
        <v>297</v>
      </c>
      <c r="F505" s="675">
        <v>3.9847E-2</v>
      </c>
      <c r="G505" s="676">
        <v>2538.48</v>
      </c>
      <c r="H505" s="588">
        <v>487.2</v>
      </c>
      <c r="I505" s="587" t="s">
        <v>549</v>
      </c>
      <c r="J505" s="585">
        <v>1</v>
      </c>
      <c r="K505" s="585" t="s">
        <v>799</v>
      </c>
      <c r="L505" s="678">
        <v>348</v>
      </c>
      <c r="M505" s="649" t="s">
        <v>2533</v>
      </c>
      <c r="N505" s="679">
        <v>67.071199999999919</v>
      </c>
      <c r="O505" s="679">
        <v>134.15400000000011</v>
      </c>
      <c r="P505" s="589" t="s">
        <v>2534</v>
      </c>
      <c r="Q505" s="680">
        <v>336.67839999999967</v>
      </c>
      <c r="R505" s="696"/>
      <c r="S505" s="553"/>
      <c r="T505" s="553"/>
      <c r="U505" s="553"/>
      <c r="V505" s="553"/>
      <c r="W505" s="553"/>
      <c r="X505" s="553"/>
      <c r="Y505" s="553"/>
      <c r="Z505" s="553"/>
      <c r="AA505" s="553"/>
      <c r="AB505" s="554"/>
      <c r="AC505" s="555"/>
      <c r="AD505" s="556"/>
      <c r="AE505" s="556"/>
      <c r="AF505" s="556"/>
      <c r="AG505" s="556"/>
    </row>
    <row r="506" spans="1:33">
      <c r="A506" s="585">
        <v>492</v>
      </c>
      <c r="B506" s="587" t="s">
        <v>4551</v>
      </c>
      <c r="C506" s="585">
        <v>492</v>
      </c>
      <c r="D506" s="629" t="s">
        <v>2304</v>
      </c>
      <c r="E506" s="586" t="s">
        <v>4562</v>
      </c>
      <c r="F506" s="675">
        <v>4.3978700000000003E-2</v>
      </c>
      <c r="G506" s="676">
        <v>2538.48</v>
      </c>
      <c r="H506" s="588">
        <v>487.2</v>
      </c>
      <c r="I506" s="587" t="s">
        <v>549</v>
      </c>
      <c r="J506" s="585">
        <v>1</v>
      </c>
      <c r="K506" s="585" t="s">
        <v>4575</v>
      </c>
      <c r="L506" s="678">
        <v>348</v>
      </c>
      <c r="M506" s="649" t="s">
        <v>2533</v>
      </c>
      <c r="N506" s="679">
        <v>67.071199999999919</v>
      </c>
      <c r="O506" s="679">
        <v>134.15400000000011</v>
      </c>
      <c r="P506" s="589" t="s">
        <v>2534</v>
      </c>
      <c r="Q506" s="680">
        <v>336.67839999999967</v>
      </c>
      <c r="R506" s="696"/>
      <c r="S506" s="553"/>
      <c r="T506" s="553"/>
      <c r="U506" s="553"/>
      <c r="V506" s="553"/>
      <c r="W506" s="553"/>
      <c r="X506" s="553"/>
      <c r="Y506" s="553"/>
      <c r="Z506" s="553"/>
      <c r="AA506" s="553"/>
      <c r="AB506" s="554"/>
      <c r="AC506" s="555"/>
      <c r="AD506" s="556"/>
      <c r="AE506" s="556"/>
      <c r="AF506" s="556"/>
      <c r="AG506" s="556"/>
    </row>
    <row r="507" spans="1:33">
      <c r="A507" s="585">
        <v>493</v>
      </c>
      <c r="B507" s="587" t="s">
        <v>2809</v>
      </c>
      <c r="C507" s="585">
        <v>493</v>
      </c>
      <c r="D507" s="629" t="s">
        <v>2304</v>
      </c>
      <c r="E507" s="586" t="s">
        <v>298</v>
      </c>
      <c r="F507" s="675">
        <v>4.2281399999999997E-2</v>
      </c>
      <c r="G507" s="676">
        <v>2538.48</v>
      </c>
      <c r="H507" s="588">
        <v>487.2</v>
      </c>
      <c r="I507" s="587" t="s">
        <v>549</v>
      </c>
      <c r="J507" s="585">
        <v>1</v>
      </c>
      <c r="K507" s="585" t="s">
        <v>800</v>
      </c>
      <c r="L507" s="678">
        <v>348</v>
      </c>
      <c r="M507" s="649" t="s">
        <v>2533</v>
      </c>
      <c r="N507" s="679">
        <v>67.071199999999919</v>
      </c>
      <c r="O507" s="679">
        <v>134.15400000000011</v>
      </c>
      <c r="P507" s="589" t="s">
        <v>2534</v>
      </c>
      <c r="Q507" s="680">
        <v>336.67839999999967</v>
      </c>
      <c r="R507" s="696"/>
      <c r="S507" s="553"/>
      <c r="T507" s="553"/>
      <c r="U507" s="553"/>
      <c r="V507" s="553"/>
      <c r="W507" s="553"/>
      <c r="X507" s="553"/>
      <c r="Y507" s="553"/>
      <c r="Z507" s="553"/>
      <c r="AA507" s="553"/>
      <c r="AB507" s="554"/>
      <c r="AC507" s="555"/>
      <c r="AD507" s="556"/>
      <c r="AE507" s="556"/>
      <c r="AF507" s="556"/>
      <c r="AG507" s="556"/>
    </row>
    <row r="508" spans="1:33">
      <c r="A508" s="585">
        <v>494</v>
      </c>
      <c r="B508" s="587" t="s">
        <v>2810</v>
      </c>
      <c r="C508" s="585">
        <v>494</v>
      </c>
      <c r="D508" s="629" t="s">
        <v>2304</v>
      </c>
      <c r="E508" s="586" t="s">
        <v>299</v>
      </c>
      <c r="F508" s="675">
        <v>4.2123500000000001E-2</v>
      </c>
      <c r="G508" s="676">
        <v>2538.48</v>
      </c>
      <c r="H508" s="588">
        <v>487.2</v>
      </c>
      <c r="I508" s="587" t="s">
        <v>549</v>
      </c>
      <c r="J508" s="585">
        <v>1</v>
      </c>
      <c r="K508" s="585" t="s">
        <v>801</v>
      </c>
      <c r="L508" s="678">
        <v>348</v>
      </c>
      <c r="M508" s="649" t="s">
        <v>2533</v>
      </c>
      <c r="N508" s="679">
        <v>67.071199999999919</v>
      </c>
      <c r="O508" s="679">
        <v>134.15400000000011</v>
      </c>
      <c r="P508" s="589" t="s">
        <v>2534</v>
      </c>
      <c r="Q508" s="680">
        <v>336.67839999999967</v>
      </c>
      <c r="R508" s="696"/>
      <c r="S508" s="553"/>
      <c r="T508" s="553"/>
      <c r="U508" s="553"/>
      <c r="V508" s="553"/>
      <c r="W508" s="553"/>
      <c r="X508" s="553"/>
      <c r="Y508" s="553"/>
      <c r="Z508" s="553"/>
      <c r="AA508" s="553"/>
      <c r="AB508" s="554"/>
      <c r="AC508" s="555"/>
      <c r="AD508" s="556"/>
      <c r="AE508" s="556"/>
      <c r="AF508" s="556"/>
      <c r="AG508" s="556"/>
    </row>
    <row r="509" spans="1:33">
      <c r="A509" s="585">
        <v>495</v>
      </c>
      <c r="B509" s="587" t="s">
        <v>2811</v>
      </c>
      <c r="C509" s="585">
        <v>495</v>
      </c>
      <c r="D509" s="629" t="s">
        <v>2304</v>
      </c>
      <c r="E509" s="586" t="s">
        <v>300</v>
      </c>
      <c r="F509" s="675">
        <v>5.1864600000000004E-2</v>
      </c>
      <c r="G509" s="676">
        <v>3463.0023344000001</v>
      </c>
      <c r="H509" s="588">
        <v>487.2</v>
      </c>
      <c r="I509" s="587" t="s">
        <v>601</v>
      </c>
      <c r="J509" s="585">
        <v>2</v>
      </c>
      <c r="K509" s="585" t="s">
        <v>802</v>
      </c>
      <c r="L509" s="678">
        <v>348</v>
      </c>
      <c r="M509" s="649" t="s">
        <v>2533</v>
      </c>
      <c r="N509" s="679">
        <v>121.62599999999989</v>
      </c>
      <c r="O509" s="679">
        <v>243.24040000000008</v>
      </c>
      <c r="P509" s="589" t="s">
        <v>2534</v>
      </c>
      <c r="Q509" s="680">
        <v>336.67839999999967</v>
      </c>
      <c r="R509" s="696"/>
      <c r="S509" s="553"/>
      <c r="T509" s="553"/>
      <c r="U509" s="553"/>
      <c r="V509" s="553"/>
      <c r="W509" s="553"/>
      <c r="X509" s="553"/>
      <c r="Y509" s="553"/>
      <c r="Z509" s="553"/>
      <c r="AA509" s="553"/>
      <c r="AB509" s="554"/>
      <c r="AC509" s="555"/>
      <c r="AD509" s="556"/>
      <c r="AE509" s="556"/>
      <c r="AF509" s="556"/>
      <c r="AG509" s="556"/>
    </row>
    <row r="510" spans="1:33">
      <c r="A510" s="585">
        <v>496</v>
      </c>
      <c r="B510" s="587" t="s">
        <v>3604</v>
      </c>
      <c r="C510" s="585">
        <v>496</v>
      </c>
      <c r="D510" s="629" t="s">
        <v>2304</v>
      </c>
      <c r="E510" s="586" t="s">
        <v>3778</v>
      </c>
      <c r="F510" s="675">
        <v>4.1959600000000007E-2</v>
      </c>
      <c r="G510" s="676">
        <v>2538.48</v>
      </c>
      <c r="H510" s="588">
        <v>487.2</v>
      </c>
      <c r="I510" s="587" t="s">
        <v>549</v>
      </c>
      <c r="J510" s="585">
        <v>1</v>
      </c>
      <c r="K510" s="585" t="s">
        <v>3692</v>
      </c>
      <c r="L510" s="678">
        <v>348</v>
      </c>
      <c r="M510" s="649" t="s">
        <v>2533</v>
      </c>
      <c r="N510" s="679">
        <v>67.071199999999919</v>
      </c>
      <c r="O510" s="679">
        <v>134.15400000000011</v>
      </c>
      <c r="P510" s="589" t="s">
        <v>2534</v>
      </c>
      <c r="Q510" s="680">
        <v>336.67839999999967</v>
      </c>
      <c r="R510" s="696"/>
      <c r="S510" s="553"/>
      <c r="T510" s="553"/>
      <c r="U510" s="553"/>
      <c r="V510" s="553"/>
      <c r="W510" s="553"/>
      <c r="X510" s="553"/>
      <c r="Y510" s="553"/>
      <c r="Z510" s="553"/>
      <c r="AA510" s="553"/>
      <c r="AB510" s="554"/>
      <c r="AC510" s="555"/>
      <c r="AD510" s="556"/>
      <c r="AE510" s="556"/>
      <c r="AF510" s="556"/>
      <c r="AG510" s="556"/>
    </row>
    <row r="511" spans="1:33">
      <c r="A511" s="585">
        <v>497</v>
      </c>
      <c r="B511" s="587" t="s">
        <v>3407</v>
      </c>
      <c r="C511" s="585">
        <v>497</v>
      </c>
      <c r="D511" s="629" t="s">
        <v>2305</v>
      </c>
      <c r="E511" s="586" t="s">
        <v>3433</v>
      </c>
      <c r="F511" s="675">
        <v>3.4484099999999997E-2</v>
      </c>
      <c r="G511" s="676">
        <v>2538.48</v>
      </c>
      <c r="H511" s="588">
        <v>487.2</v>
      </c>
      <c r="I511" s="587" t="s">
        <v>549</v>
      </c>
      <c r="J511" s="585">
        <v>1</v>
      </c>
      <c r="K511" s="585" t="s">
        <v>3453</v>
      </c>
      <c r="L511" s="678">
        <v>348</v>
      </c>
      <c r="M511" s="649" t="s">
        <v>2533</v>
      </c>
      <c r="N511" s="679">
        <v>67.071199999999919</v>
      </c>
      <c r="O511" s="679">
        <v>134.15400000000011</v>
      </c>
      <c r="P511" s="589" t="s">
        <v>2534</v>
      </c>
      <c r="Q511" s="680">
        <v>336.67839999999967</v>
      </c>
      <c r="R511" s="696"/>
      <c r="S511" s="553"/>
      <c r="T511" s="553"/>
      <c r="U511" s="553"/>
      <c r="V511" s="553"/>
      <c r="W511" s="553"/>
      <c r="X511" s="553"/>
      <c r="Y511" s="553"/>
      <c r="Z511" s="553"/>
      <c r="AA511" s="553"/>
      <c r="AB511" s="554"/>
      <c r="AC511" s="555"/>
      <c r="AD511" s="556"/>
      <c r="AE511" s="556"/>
      <c r="AF511" s="556"/>
      <c r="AG511" s="556"/>
    </row>
    <row r="512" spans="1:33">
      <c r="A512" s="585">
        <v>498</v>
      </c>
      <c r="B512" s="587" t="s">
        <v>2812</v>
      </c>
      <c r="C512" s="585">
        <v>498</v>
      </c>
      <c r="D512" s="629" t="s">
        <v>2305</v>
      </c>
      <c r="E512" s="586" t="s">
        <v>301</v>
      </c>
      <c r="F512" s="675">
        <v>3.4484099999999997E-2</v>
      </c>
      <c r="G512" s="676">
        <v>2538.48</v>
      </c>
      <c r="H512" s="588">
        <v>487.2</v>
      </c>
      <c r="I512" s="587" t="s">
        <v>549</v>
      </c>
      <c r="J512" s="585">
        <v>1</v>
      </c>
      <c r="K512" s="585" t="s">
        <v>803</v>
      </c>
      <c r="L512" s="678">
        <v>348</v>
      </c>
      <c r="M512" s="649" t="s">
        <v>2533</v>
      </c>
      <c r="N512" s="679">
        <v>67.071199999999919</v>
      </c>
      <c r="O512" s="679">
        <v>134.15400000000011</v>
      </c>
      <c r="P512" s="589" t="s">
        <v>2534</v>
      </c>
      <c r="Q512" s="680">
        <v>336.67839999999967</v>
      </c>
      <c r="R512" s="696"/>
      <c r="S512" s="553"/>
      <c r="T512" s="553"/>
      <c r="U512" s="553"/>
      <c r="V512" s="553"/>
      <c r="W512" s="553"/>
      <c r="X512" s="553"/>
      <c r="Y512" s="553"/>
      <c r="Z512" s="553"/>
      <c r="AA512" s="553"/>
      <c r="AB512" s="554"/>
      <c r="AC512" s="555"/>
      <c r="AD512" s="556"/>
      <c r="AE512" s="556"/>
      <c r="AF512" s="556"/>
      <c r="AG512" s="556"/>
    </row>
    <row r="513" spans="1:33">
      <c r="A513" s="585">
        <v>499</v>
      </c>
      <c r="B513" s="587" t="s">
        <v>2813</v>
      </c>
      <c r="C513" s="585">
        <v>499</v>
      </c>
      <c r="D513" s="629" t="s">
        <v>2305</v>
      </c>
      <c r="E513" s="586" t="s">
        <v>302</v>
      </c>
      <c r="F513" s="675">
        <v>3.5804000000000002E-2</v>
      </c>
      <c r="G513" s="676">
        <v>2538.48</v>
      </c>
      <c r="H513" s="588">
        <v>487.2</v>
      </c>
      <c r="I513" s="587" t="s">
        <v>549</v>
      </c>
      <c r="J513" s="585">
        <v>1</v>
      </c>
      <c r="K513" s="585" t="s">
        <v>804</v>
      </c>
      <c r="L513" s="678">
        <v>348</v>
      </c>
      <c r="M513" s="649" t="s">
        <v>2533</v>
      </c>
      <c r="N513" s="679">
        <v>67.071199999999919</v>
      </c>
      <c r="O513" s="679">
        <v>134.15400000000011</v>
      </c>
      <c r="P513" s="589" t="s">
        <v>2534</v>
      </c>
      <c r="Q513" s="680">
        <v>336.67839999999967</v>
      </c>
      <c r="R513" s="696"/>
      <c r="S513" s="553"/>
      <c r="T513" s="553"/>
      <c r="U513" s="553"/>
      <c r="V513" s="553"/>
      <c r="W513" s="553"/>
      <c r="X513" s="553"/>
      <c r="Y513" s="553"/>
      <c r="Z513" s="553"/>
      <c r="AA513" s="553"/>
      <c r="AB513" s="554"/>
      <c r="AC513" s="555"/>
      <c r="AD513" s="556"/>
      <c r="AE513" s="556"/>
      <c r="AF513" s="556"/>
      <c r="AG513" s="556"/>
    </row>
    <row r="514" spans="1:33">
      <c r="A514" s="585">
        <v>500</v>
      </c>
      <c r="B514" s="587" t="s">
        <v>2814</v>
      </c>
      <c r="C514" s="585">
        <v>500</v>
      </c>
      <c r="D514" s="629" t="s">
        <v>2305</v>
      </c>
      <c r="E514" s="586" t="s">
        <v>303</v>
      </c>
      <c r="F514" s="675">
        <v>3.58541E-2</v>
      </c>
      <c r="G514" s="676">
        <v>2538.48</v>
      </c>
      <c r="H514" s="588">
        <v>487.2</v>
      </c>
      <c r="I514" s="587" t="s">
        <v>549</v>
      </c>
      <c r="J514" s="585">
        <v>1</v>
      </c>
      <c r="K514" s="585" t="s">
        <v>805</v>
      </c>
      <c r="L514" s="678">
        <v>348</v>
      </c>
      <c r="M514" s="649" t="s">
        <v>2533</v>
      </c>
      <c r="N514" s="679">
        <v>67.071199999999919</v>
      </c>
      <c r="O514" s="679">
        <v>134.15400000000011</v>
      </c>
      <c r="P514" s="589" t="s">
        <v>2534</v>
      </c>
      <c r="Q514" s="680">
        <v>336.67839999999967</v>
      </c>
      <c r="R514" s="696"/>
      <c r="S514" s="553"/>
      <c r="T514" s="553"/>
      <c r="U514" s="553"/>
      <c r="V514" s="553"/>
      <c r="W514" s="553"/>
      <c r="X514" s="553"/>
      <c r="Y514" s="553"/>
      <c r="Z514" s="553"/>
      <c r="AA514" s="553"/>
      <c r="AB514" s="554"/>
      <c r="AC514" s="555"/>
      <c r="AD514" s="556"/>
      <c r="AE514" s="556"/>
      <c r="AF514" s="556"/>
      <c r="AG514" s="556"/>
    </row>
    <row r="515" spans="1:33">
      <c r="A515" s="585">
        <v>501</v>
      </c>
      <c r="B515" s="587" t="s">
        <v>2815</v>
      </c>
      <c r="C515" s="585">
        <v>501</v>
      </c>
      <c r="D515" s="629" t="s">
        <v>2305</v>
      </c>
      <c r="E515" s="586" t="s">
        <v>2487</v>
      </c>
      <c r="F515" s="675">
        <v>4.0406700000000004E-2</v>
      </c>
      <c r="G515" s="676">
        <v>2538.48</v>
      </c>
      <c r="H515" s="588">
        <v>487.2</v>
      </c>
      <c r="I515" s="587" t="s">
        <v>549</v>
      </c>
      <c r="J515" s="585">
        <v>1</v>
      </c>
      <c r="K515" s="585" t="s">
        <v>2488</v>
      </c>
      <c r="L515" s="678">
        <v>348</v>
      </c>
      <c r="M515" s="649" t="s">
        <v>2533</v>
      </c>
      <c r="N515" s="679">
        <v>67.071199999999919</v>
      </c>
      <c r="O515" s="679">
        <v>134.15400000000011</v>
      </c>
      <c r="P515" s="589" t="s">
        <v>2534</v>
      </c>
      <c r="Q515" s="680">
        <v>336.67839999999967</v>
      </c>
      <c r="R515" s="696"/>
      <c r="S515" s="553"/>
      <c r="T515" s="553"/>
      <c r="U515" s="553"/>
      <c r="V515" s="553"/>
      <c r="W515" s="553"/>
      <c r="X515" s="553"/>
      <c r="Y515" s="553"/>
      <c r="Z515" s="553"/>
      <c r="AA515" s="553"/>
      <c r="AB515" s="554"/>
      <c r="AC515" s="555"/>
      <c r="AD515" s="556"/>
      <c r="AE515" s="556"/>
      <c r="AF515" s="556"/>
      <c r="AG515" s="556"/>
    </row>
    <row r="516" spans="1:33">
      <c r="A516" s="585">
        <v>502</v>
      </c>
      <c r="B516" s="587" t="s">
        <v>4382</v>
      </c>
      <c r="C516" s="585">
        <v>502</v>
      </c>
      <c r="D516" s="629" t="s">
        <v>2305</v>
      </c>
      <c r="E516" s="586" t="s">
        <v>4387</v>
      </c>
      <c r="F516" s="675">
        <v>4.2297700000000001E-2</v>
      </c>
      <c r="G516" s="676">
        <v>2538.48</v>
      </c>
      <c r="H516" s="588">
        <v>487.2</v>
      </c>
      <c r="I516" s="587" t="s">
        <v>549</v>
      </c>
      <c r="J516" s="585">
        <v>1</v>
      </c>
      <c r="K516" s="585" t="s">
        <v>4383</v>
      </c>
      <c r="L516" s="678">
        <v>348</v>
      </c>
      <c r="M516" s="649" t="s">
        <v>2533</v>
      </c>
      <c r="N516" s="679">
        <v>67.071199999999919</v>
      </c>
      <c r="O516" s="679">
        <v>134.15400000000011</v>
      </c>
      <c r="P516" s="589" t="s">
        <v>2534</v>
      </c>
      <c r="Q516" s="680">
        <v>336.67839999999967</v>
      </c>
      <c r="R516" s="696"/>
      <c r="S516" s="553"/>
      <c r="T516" s="553"/>
      <c r="U516" s="553"/>
      <c r="V516" s="553"/>
      <c r="W516" s="553"/>
      <c r="X516" s="553"/>
      <c r="Y516" s="553"/>
      <c r="Z516" s="553"/>
      <c r="AA516" s="553"/>
      <c r="AB516" s="554"/>
      <c r="AC516" s="555"/>
      <c r="AD516" s="556"/>
      <c r="AE516" s="556"/>
      <c r="AF516" s="556"/>
      <c r="AG516" s="556"/>
    </row>
    <row r="517" spans="1:33">
      <c r="A517" s="585">
        <v>503</v>
      </c>
      <c r="B517" s="587" t="s">
        <v>2816</v>
      </c>
      <c r="C517" s="585">
        <v>503</v>
      </c>
      <c r="D517" s="629" t="s">
        <v>2305</v>
      </c>
      <c r="E517" s="586" t="s">
        <v>305</v>
      </c>
      <c r="F517" s="675">
        <v>3.9847E-2</v>
      </c>
      <c r="G517" s="676">
        <v>2538.48</v>
      </c>
      <c r="H517" s="588">
        <v>487.2</v>
      </c>
      <c r="I517" s="587" t="s">
        <v>549</v>
      </c>
      <c r="J517" s="585">
        <v>1</v>
      </c>
      <c r="K517" s="585" t="s">
        <v>806</v>
      </c>
      <c r="L517" s="678">
        <v>348</v>
      </c>
      <c r="M517" s="649" t="s">
        <v>2533</v>
      </c>
      <c r="N517" s="679">
        <v>67.071199999999919</v>
      </c>
      <c r="O517" s="679">
        <v>134.15400000000011</v>
      </c>
      <c r="P517" s="589" t="s">
        <v>2534</v>
      </c>
      <c r="Q517" s="680">
        <v>336.67839999999967</v>
      </c>
      <c r="R517" s="696"/>
      <c r="S517" s="553"/>
      <c r="T517" s="553"/>
      <c r="U517" s="553"/>
      <c r="V517" s="553"/>
      <c r="W517" s="553"/>
      <c r="X517" s="553"/>
      <c r="Y517" s="553"/>
      <c r="Z517" s="553"/>
      <c r="AA517" s="553"/>
      <c r="AB517" s="554"/>
      <c r="AC517" s="555"/>
      <c r="AD517" s="556"/>
      <c r="AE517" s="556"/>
      <c r="AF517" s="556"/>
      <c r="AG517" s="556"/>
    </row>
    <row r="518" spans="1:33">
      <c r="A518" s="585">
        <v>504</v>
      </c>
      <c r="B518" s="587" t="s">
        <v>2817</v>
      </c>
      <c r="C518" s="585">
        <v>504</v>
      </c>
      <c r="D518" s="629" t="s">
        <v>2305</v>
      </c>
      <c r="E518" s="586" t="s">
        <v>306</v>
      </c>
      <c r="F518" s="675">
        <v>4.3381200000000002E-2</v>
      </c>
      <c r="G518" s="676">
        <v>2538.48</v>
      </c>
      <c r="H518" s="588">
        <v>487.2</v>
      </c>
      <c r="I518" s="587" t="s">
        <v>549</v>
      </c>
      <c r="J518" s="585">
        <v>1</v>
      </c>
      <c r="K518" s="585" t="s">
        <v>807</v>
      </c>
      <c r="L518" s="678">
        <v>348</v>
      </c>
      <c r="M518" s="649" t="s">
        <v>2533</v>
      </c>
      <c r="N518" s="679">
        <v>67.071199999999919</v>
      </c>
      <c r="O518" s="679">
        <v>134.15400000000011</v>
      </c>
      <c r="P518" s="589" t="s">
        <v>2534</v>
      </c>
      <c r="Q518" s="680">
        <v>336.67839999999967</v>
      </c>
      <c r="R518" s="696"/>
      <c r="S518" s="553"/>
      <c r="T518" s="553"/>
      <c r="U518" s="553"/>
      <c r="V518" s="553"/>
      <c r="W518" s="553"/>
      <c r="X518" s="553"/>
      <c r="Y518" s="553"/>
      <c r="Z518" s="553"/>
      <c r="AA518" s="553"/>
      <c r="AB518" s="554"/>
      <c r="AC518" s="555"/>
      <c r="AD518" s="556"/>
      <c r="AE518" s="556"/>
      <c r="AF518" s="556"/>
      <c r="AG518" s="556"/>
    </row>
    <row r="519" spans="1:33">
      <c r="A519" s="585">
        <v>505</v>
      </c>
      <c r="B519" s="587" t="s">
        <v>2818</v>
      </c>
      <c r="C519" s="585">
        <v>505</v>
      </c>
      <c r="D519" s="629" t="s">
        <v>2305</v>
      </c>
      <c r="E519" s="586" t="s">
        <v>307</v>
      </c>
      <c r="F519" s="675">
        <v>4.0420800000000007E-2</v>
      </c>
      <c r="G519" s="676">
        <v>2538.48</v>
      </c>
      <c r="H519" s="588">
        <v>487.2</v>
      </c>
      <c r="I519" s="587" t="s">
        <v>549</v>
      </c>
      <c r="J519" s="585">
        <v>1</v>
      </c>
      <c r="K519" s="585" t="s">
        <v>808</v>
      </c>
      <c r="L519" s="678">
        <v>348</v>
      </c>
      <c r="M519" s="649" t="s">
        <v>2533</v>
      </c>
      <c r="N519" s="679">
        <v>67.071199999999919</v>
      </c>
      <c r="O519" s="679">
        <v>134.15400000000011</v>
      </c>
      <c r="P519" s="589" t="s">
        <v>2534</v>
      </c>
      <c r="Q519" s="680">
        <v>336.67839999999967</v>
      </c>
      <c r="R519" s="696"/>
      <c r="S519" s="553"/>
      <c r="T519" s="553"/>
      <c r="U519" s="553"/>
      <c r="V519" s="553"/>
      <c r="W519" s="553"/>
      <c r="X519" s="553"/>
      <c r="Y519" s="553"/>
      <c r="Z519" s="553"/>
      <c r="AA519" s="553"/>
      <c r="AB519" s="554"/>
      <c r="AC519" s="555"/>
      <c r="AD519" s="556"/>
      <c r="AE519" s="556"/>
      <c r="AF519" s="556"/>
      <c r="AG519" s="556"/>
    </row>
    <row r="520" spans="1:33">
      <c r="A520" s="585">
        <v>506</v>
      </c>
      <c r="B520" s="587" t="s">
        <v>3339</v>
      </c>
      <c r="C520" s="585">
        <v>506</v>
      </c>
      <c r="D520" s="629" t="s">
        <v>2305</v>
      </c>
      <c r="E520" s="586" t="s">
        <v>3340</v>
      </c>
      <c r="F520" s="675">
        <v>3.9326100000000003E-2</v>
      </c>
      <c r="G520" s="676">
        <v>2538.48</v>
      </c>
      <c r="H520" s="588">
        <v>487.2</v>
      </c>
      <c r="I520" s="587" t="s">
        <v>549</v>
      </c>
      <c r="J520" s="585">
        <v>1</v>
      </c>
      <c r="K520" s="585" t="s">
        <v>3341</v>
      </c>
      <c r="L520" s="678">
        <v>348</v>
      </c>
      <c r="M520" s="649" t="s">
        <v>2533</v>
      </c>
      <c r="N520" s="679">
        <v>67.071199999999919</v>
      </c>
      <c r="O520" s="679">
        <v>134.15400000000011</v>
      </c>
      <c r="P520" s="589" t="s">
        <v>2534</v>
      </c>
      <c r="Q520" s="680">
        <v>336.67839999999967</v>
      </c>
      <c r="R520" s="696"/>
      <c r="S520" s="553"/>
      <c r="T520" s="553"/>
      <c r="U520" s="553"/>
      <c r="V520" s="553"/>
      <c r="W520" s="553"/>
      <c r="X520" s="553"/>
      <c r="Y520" s="553"/>
      <c r="Z520" s="553"/>
      <c r="AA520" s="553"/>
      <c r="AB520" s="554"/>
      <c r="AC520" s="555"/>
      <c r="AD520" s="556"/>
      <c r="AE520" s="556"/>
      <c r="AF520" s="556"/>
      <c r="AG520" s="556"/>
    </row>
    <row r="521" spans="1:33">
      <c r="A521" s="585">
        <v>507</v>
      </c>
      <c r="B521" s="587" t="s">
        <v>3354</v>
      </c>
      <c r="C521" s="585">
        <v>507</v>
      </c>
      <c r="D521" s="629" t="s">
        <v>2305</v>
      </c>
      <c r="E521" s="586" t="s">
        <v>3366</v>
      </c>
      <c r="F521" s="675">
        <v>6.1468600000000005E-2</v>
      </c>
      <c r="G521" s="676">
        <v>3463.0023344000001</v>
      </c>
      <c r="H521" s="588">
        <v>487.2</v>
      </c>
      <c r="I521" s="587" t="s">
        <v>601</v>
      </c>
      <c r="J521" s="585">
        <v>2</v>
      </c>
      <c r="K521" s="585" t="s">
        <v>3375</v>
      </c>
      <c r="L521" s="678">
        <v>348</v>
      </c>
      <c r="M521" s="649" t="s">
        <v>2533</v>
      </c>
      <c r="N521" s="679">
        <v>121.62599999999989</v>
      </c>
      <c r="O521" s="679">
        <v>243.24040000000008</v>
      </c>
      <c r="P521" s="589" t="s">
        <v>2534</v>
      </c>
      <c r="Q521" s="680">
        <v>336.67839999999967</v>
      </c>
      <c r="R521" s="696"/>
      <c r="S521" s="553"/>
      <c r="T521" s="553"/>
      <c r="U521" s="553"/>
      <c r="V521" s="553"/>
      <c r="W521" s="553"/>
      <c r="X521" s="553"/>
      <c r="Y521" s="553"/>
      <c r="Z521" s="553"/>
      <c r="AA521" s="553"/>
      <c r="AB521" s="554"/>
      <c r="AC521" s="555"/>
      <c r="AD521" s="556"/>
      <c r="AE521" s="556"/>
      <c r="AF521" s="556"/>
      <c r="AG521" s="556"/>
    </row>
    <row r="522" spans="1:33">
      <c r="A522" s="585">
        <v>508</v>
      </c>
      <c r="B522" s="587" t="s">
        <v>3355</v>
      </c>
      <c r="C522" s="585">
        <v>508</v>
      </c>
      <c r="D522" s="629" t="s">
        <v>2305</v>
      </c>
      <c r="E522" s="586" t="s">
        <v>3367</v>
      </c>
      <c r="F522" s="675">
        <v>6.1468600000000005E-2</v>
      </c>
      <c r="G522" s="676">
        <v>3463.0023344000001</v>
      </c>
      <c r="H522" s="588">
        <v>487.2</v>
      </c>
      <c r="I522" s="587" t="s">
        <v>601</v>
      </c>
      <c r="J522" s="585">
        <v>2</v>
      </c>
      <c r="K522" s="585" t="s">
        <v>3376</v>
      </c>
      <c r="L522" s="678">
        <v>348</v>
      </c>
      <c r="M522" s="649" t="s">
        <v>2533</v>
      </c>
      <c r="N522" s="679">
        <v>121.62599999999989</v>
      </c>
      <c r="O522" s="679">
        <v>243.24040000000008</v>
      </c>
      <c r="P522" s="589" t="s">
        <v>2534</v>
      </c>
      <c r="Q522" s="680">
        <v>336.67839999999967</v>
      </c>
      <c r="R522" s="696"/>
      <c r="S522" s="553"/>
      <c r="T522" s="553"/>
      <c r="U522" s="553"/>
      <c r="V522" s="553"/>
      <c r="W522" s="553"/>
      <c r="X522" s="553"/>
      <c r="Y522" s="553"/>
      <c r="Z522" s="553"/>
      <c r="AA522" s="553"/>
      <c r="AB522" s="554"/>
      <c r="AC522" s="555"/>
      <c r="AD522" s="556"/>
      <c r="AE522" s="556"/>
      <c r="AF522" s="556"/>
      <c r="AG522" s="556"/>
    </row>
    <row r="523" spans="1:33">
      <c r="A523" s="585">
        <v>509</v>
      </c>
      <c r="B523" s="587" t="s">
        <v>2819</v>
      </c>
      <c r="C523" s="585">
        <v>509</v>
      </c>
      <c r="D523" s="629" t="s">
        <v>2305</v>
      </c>
      <c r="E523" s="586" t="s">
        <v>308</v>
      </c>
      <c r="F523" s="675">
        <v>3.7823799999999998E-2</v>
      </c>
      <c r="G523" s="676">
        <v>2538.48</v>
      </c>
      <c r="H523" s="588">
        <v>487.2</v>
      </c>
      <c r="I523" s="587" t="s">
        <v>549</v>
      </c>
      <c r="J523" s="585">
        <v>1</v>
      </c>
      <c r="K523" s="585" t="s">
        <v>809</v>
      </c>
      <c r="L523" s="678">
        <v>348</v>
      </c>
      <c r="M523" s="649" t="s">
        <v>2533</v>
      </c>
      <c r="N523" s="679">
        <v>67.071199999999919</v>
      </c>
      <c r="O523" s="679">
        <v>134.15400000000011</v>
      </c>
      <c r="P523" s="589" t="s">
        <v>2534</v>
      </c>
      <c r="Q523" s="680">
        <v>336.67839999999967</v>
      </c>
      <c r="R523" s="696"/>
      <c r="S523" s="553"/>
      <c r="T523" s="553"/>
      <c r="U523" s="553"/>
      <c r="V523" s="553"/>
      <c r="W523" s="553"/>
      <c r="X523" s="553"/>
      <c r="Y523" s="553"/>
      <c r="Z523" s="553"/>
      <c r="AA523" s="553"/>
      <c r="AB523" s="554"/>
      <c r="AC523" s="555"/>
      <c r="AD523" s="556"/>
      <c r="AE523" s="556"/>
      <c r="AF523" s="556"/>
      <c r="AG523" s="556"/>
    </row>
    <row r="524" spans="1:33">
      <c r="A524" s="585">
        <v>510</v>
      </c>
      <c r="B524" s="587" t="s">
        <v>2820</v>
      </c>
      <c r="C524" s="585">
        <v>510</v>
      </c>
      <c r="D524" s="629" t="s">
        <v>2305</v>
      </c>
      <c r="E524" s="586" t="s">
        <v>309</v>
      </c>
      <c r="F524" s="675">
        <v>3.7823799999999998E-2</v>
      </c>
      <c r="G524" s="676">
        <v>2538.48</v>
      </c>
      <c r="H524" s="588">
        <v>487.2</v>
      </c>
      <c r="I524" s="587" t="s">
        <v>549</v>
      </c>
      <c r="J524" s="585">
        <v>1</v>
      </c>
      <c r="K524" s="585" t="s">
        <v>810</v>
      </c>
      <c r="L524" s="678">
        <v>348</v>
      </c>
      <c r="M524" s="649" t="s">
        <v>2533</v>
      </c>
      <c r="N524" s="679">
        <v>67.071199999999919</v>
      </c>
      <c r="O524" s="679">
        <v>134.15400000000011</v>
      </c>
      <c r="P524" s="589" t="s">
        <v>2534</v>
      </c>
      <c r="Q524" s="680">
        <v>336.67839999999967</v>
      </c>
      <c r="R524" s="696"/>
      <c r="S524" s="553"/>
      <c r="T524" s="553"/>
      <c r="U524" s="553"/>
      <c r="V524" s="553"/>
      <c r="W524" s="553"/>
      <c r="X524" s="553"/>
      <c r="Y524" s="553"/>
      <c r="Z524" s="553"/>
      <c r="AA524" s="553"/>
      <c r="AB524" s="554"/>
      <c r="AC524" s="555"/>
      <c r="AD524" s="556"/>
      <c r="AE524" s="556"/>
      <c r="AF524" s="556"/>
      <c r="AG524" s="556"/>
    </row>
    <row r="525" spans="1:33">
      <c r="A525" s="585">
        <v>511</v>
      </c>
      <c r="B525" s="587" t="s">
        <v>2821</v>
      </c>
      <c r="C525" s="585">
        <v>511</v>
      </c>
      <c r="D525" s="629" t="s">
        <v>2305</v>
      </c>
      <c r="E525" s="586" t="s">
        <v>310</v>
      </c>
      <c r="F525" s="675">
        <v>5.9315399999999997E-2</v>
      </c>
      <c r="G525" s="676">
        <v>3463.0023344000001</v>
      </c>
      <c r="H525" s="588">
        <v>487.2</v>
      </c>
      <c r="I525" s="587" t="s">
        <v>601</v>
      </c>
      <c r="J525" s="585">
        <v>2</v>
      </c>
      <c r="K525" s="585" t="s">
        <v>811</v>
      </c>
      <c r="L525" s="678">
        <v>348</v>
      </c>
      <c r="M525" s="649" t="s">
        <v>2533</v>
      </c>
      <c r="N525" s="679">
        <v>121.62599999999989</v>
      </c>
      <c r="O525" s="679">
        <v>243.24040000000008</v>
      </c>
      <c r="P525" s="589" t="s">
        <v>2534</v>
      </c>
      <c r="Q525" s="680">
        <v>336.67839999999967</v>
      </c>
      <c r="R525" s="696"/>
      <c r="S525" s="553"/>
      <c r="T525" s="553"/>
      <c r="U525" s="553"/>
      <c r="V525" s="553"/>
      <c r="W525" s="553"/>
      <c r="X525" s="553"/>
      <c r="Y525" s="553"/>
      <c r="Z525" s="553"/>
      <c r="AA525" s="553"/>
      <c r="AB525" s="554"/>
      <c r="AC525" s="555"/>
      <c r="AD525" s="556"/>
      <c r="AE525" s="556"/>
      <c r="AF525" s="556"/>
      <c r="AG525" s="556"/>
    </row>
    <row r="526" spans="1:33">
      <c r="A526" s="585">
        <v>512</v>
      </c>
      <c r="B526" s="587" t="s">
        <v>2822</v>
      </c>
      <c r="C526" s="585">
        <v>512</v>
      </c>
      <c r="D526" s="629" t="s">
        <v>2305</v>
      </c>
      <c r="E526" s="586" t="s">
        <v>311</v>
      </c>
      <c r="F526" s="675">
        <v>5.9315399999999997E-2</v>
      </c>
      <c r="G526" s="676">
        <v>3463.0023344000001</v>
      </c>
      <c r="H526" s="588">
        <v>487.2</v>
      </c>
      <c r="I526" s="587" t="s">
        <v>601</v>
      </c>
      <c r="J526" s="585">
        <v>2</v>
      </c>
      <c r="K526" s="585" t="s">
        <v>812</v>
      </c>
      <c r="L526" s="678">
        <v>348</v>
      </c>
      <c r="M526" s="649" t="s">
        <v>2533</v>
      </c>
      <c r="N526" s="679">
        <v>121.62599999999989</v>
      </c>
      <c r="O526" s="679">
        <v>243.24040000000008</v>
      </c>
      <c r="P526" s="589" t="s">
        <v>2534</v>
      </c>
      <c r="Q526" s="680">
        <v>336.67839999999967</v>
      </c>
      <c r="R526" s="696"/>
      <c r="S526" s="553"/>
      <c r="T526" s="553"/>
      <c r="U526" s="553"/>
      <c r="V526" s="553"/>
      <c r="W526" s="553"/>
      <c r="X526" s="553"/>
      <c r="Y526" s="553"/>
      <c r="Z526" s="553"/>
      <c r="AA526" s="553"/>
      <c r="AB526" s="554"/>
      <c r="AC526" s="555"/>
      <c r="AD526" s="556"/>
      <c r="AE526" s="556"/>
      <c r="AF526" s="556"/>
      <c r="AG526" s="556"/>
    </row>
    <row r="527" spans="1:33">
      <c r="A527" s="585">
        <v>513</v>
      </c>
      <c r="B527" s="587" t="s">
        <v>2823</v>
      </c>
      <c r="C527" s="585">
        <v>513</v>
      </c>
      <c r="D527" s="629" t="s">
        <v>2305</v>
      </c>
      <c r="E527" s="586" t="s">
        <v>312</v>
      </c>
      <c r="F527" s="675">
        <v>6.4276299999999995E-2</v>
      </c>
      <c r="G527" s="676">
        <v>3463.0023344000001</v>
      </c>
      <c r="H527" s="588">
        <v>487.2</v>
      </c>
      <c r="I527" s="587" t="s">
        <v>601</v>
      </c>
      <c r="J527" s="585">
        <v>2</v>
      </c>
      <c r="K527" s="585" t="s">
        <v>813</v>
      </c>
      <c r="L527" s="678">
        <v>348</v>
      </c>
      <c r="M527" s="649" t="s">
        <v>2533</v>
      </c>
      <c r="N527" s="679">
        <v>121.62599999999989</v>
      </c>
      <c r="O527" s="679">
        <v>243.24040000000008</v>
      </c>
      <c r="P527" s="589" t="s">
        <v>2534</v>
      </c>
      <c r="Q527" s="680">
        <v>336.67839999999967</v>
      </c>
      <c r="R527" s="696"/>
      <c r="S527" s="553"/>
      <c r="T527" s="553"/>
      <c r="U527" s="553"/>
      <c r="V527" s="553"/>
      <c r="W527" s="553"/>
      <c r="X527" s="553"/>
      <c r="Y527" s="553"/>
      <c r="Z527" s="553"/>
      <c r="AA527" s="553"/>
      <c r="AB527" s="554"/>
      <c r="AC527" s="555"/>
      <c r="AD527" s="556"/>
      <c r="AE527" s="556"/>
      <c r="AF527" s="556"/>
      <c r="AG527" s="556"/>
    </row>
    <row r="528" spans="1:33">
      <c r="A528" s="585">
        <v>514</v>
      </c>
      <c r="B528" s="587" t="s">
        <v>2824</v>
      </c>
      <c r="C528" s="585">
        <v>514</v>
      </c>
      <c r="D528" s="629" t="s">
        <v>2305</v>
      </c>
      <c r="E528" s="586" t="s">
        <v>313</v>
      </c>
      <c r="F528" s="675">
        <v>5.9315399999999997E-2</v>
      </c>
      <c r="G528" s="676">
        <v>3463.0023344000001</v>
      </c>
      <c r="H528" s="588">
        <v>487.2</v>
      </c>
      <c r="I528" s="587" t="s">
        <v>601</v>
      </c>
      <c r="J528" s="585">
        <v>2</v>
      </c>
      <c r="K528" s="585" t="s">
        <v>814</v>
      </c>
      <c r="L528" s="678">
        <v>348</v>
      </c>
      <c r="M528" s="649" t="s">
        <v>2533</v>
      </c>
      <c r="N528" s="679">
        <v>121.62599999999989</v>
      </c>
      <c r="O528" s="679">
        <v>243.24040000000008</v>
      </c>
      <c r="P528" s="589" t="s">
        <v>2534</v>
      </c>
      <c r="Q528" s="680">
        <v>336.67839999999967</v>
      </c>
      <c r="R528" s="696"/>
      <c r="S528" s="553"/>
      <c r="T528" s="553"/>
      <c r="U528" s="553"/>
      <c r="V528" s="553"/>
      <c r="W528" s="553"/>
      <c r="X528" s="553"/>
      <c r="Y528" s="553"/>
      <c r="Z528" s="553"/>
      <c r="AA528" s="553"/>
      <c r="AB528" s="554"/>
      <c r="AC528" s="555"/>
      <c r="AD528" s="556"/>
      <c r="AE528" s="556"/>
      <c r="AF528" s="556"/>
      <c r="AG528" s="556"/>
    </row>
    <row r="529" spans="1:33">
      <c r="A529" s="585">
        <v>515</v>
      </c>
      <c r="B529" s="587" t="s">
        <v>2825</v>
      </c>
      <c r="C529" s="585">
        <v>515</v>
      </c>
      <c r="D529" s="629" t="s">
        <v>2305</v>
      </c>
      <c r="E529" s="586" t="s">
        <v>314</v>
      </c>
      <c r="F529" s="675">
        <v>5.9315399999999997E-2</v>
      </c>
      <c r="G529" s="676">
        <v>3463.0023344000001</v>
      </c>
      <c r="H529" s="588">
        <v>487.2</v>
      </c>
      <c r="I529" s="587" t="s">
        <v>601</v>
      </c>
      <c r="J529" s="585">
        <v>2</v>
      </c>
      <c r="K529" s="585" t="s">
        <v>815</v>
      </c>
      <c r="L529" s="678">
        <v>348</v>
      </c>
      <c r="M529" s="649" t="s">
        <v>2533</v>
      </c>
      <c r="N529" s="679">
        <v>121.62599999999989</v>
      </c>
      <c r="O529" s="679">
        <v>243.24040000000008</v>
      </c>
      <c r="P529" s="589" t="s">
        <v>2534</v>
      </c>
      <c r="Q529" s="680">
        <v>336.67839999999967</v>
      </c>
      <c r="R529" s="696"/>
      <c r="S529" s="553"/>
      <c r="T529" s="553"/>
      <c r="U529" s="553"/>
      <c r="V529" s="553"/>
      <c r="W529" s="553"/>
      <c r="X529" s="553"/>
      <c r="Y529" s="553"/>
      <c r="Z529" s="553"/>
      <c r="AA529" s="553"/>
      <c r="AB529" s="554"/>
      <c r="AC529" s="555"/>
      <c r="AD529" s="556"/>
      <c r="AE529" s="556"/>
      <c r="AF529" s="556"/>
      <c r="AG529" s="556"/>
    </row>
    <row r="530" spans="1:33">
      <c r="A530" s="585">
        <v>516</v>
      </c>
      <c r="B530" s="587" t="s">
        <v>2826</v>
      </c>
      <c r="C530" s="585">
        <v>516</v>
      </c>
      <c r="D530" s="629" t="s">
        <v>2305</v>
      </c>
      <c r="E530" s="586" t="s">
        <v>315</v>
      </c>
      <c r="F530" s="675">
        <v>6.4276299999999995E-2</v>
      </c>
      <c r="G530" s="676">
        <v>3463.0023344000001</v>
      </c>
      <c r="H530" s="588">
        <v>487.2</v>
      </c>
      <c r="I530" s="587" t="s">
        <v>601</v>
      </c>
      <c r="J530" s="585">
        <v>2</v>
      </c>
      <c r="K530" s="585" t="s">
        <v>816</v>
      </c>
      <c r="L530" s="678">
        <v>348</v>
      </c>
      <c r="M530" s="649" t="s">
        <v>2533</v>
      </c>
      <c r="N530" s="679">
        <v>121.62599999999989</v>
      </c>
      <c r="O530" s="679">
        <v>243.24040000000008</v>
      </c>
      <c r="P530" s="589" t="s">
        <v>2534</v>
      </c>
      <c r="Q530" s="680">
        <v>336.67839999999967</v>
      </c>
      <c r="R530" s="696"/>
      <c r="S530" s="553"/>
      <c r="T530" s="553"/>
      <c r="U530" s="553"/>
      <c r="V530" s="553"/>
      <c r="W530" s="553"/>
      <c r="X530" s="553"/>
      <c r="Y530" s="553"/>
      <c r="Z530" s="553"/>
      <c r="AA530" s="553"/>
      <c r="AB530" s="554"/>
      <c r="AC530" s="555"/>
      <c r="AD530" s="556"/>
      <c r="AE530" s="556"/>
      <c r="AF530" s="556"/>
      <c r="AG530" s="556"/>
    </row>
    <row r="531" spans="1:33">
      <c r="A531" s="585">
        <v>517</v>
      </c>
      <c r="B531" s="587" t="s">
        <v>2827</v>
      </c>
      <c r="C531" s="585">
        <v>517</v>
      </c>
      <c r="D531" s="629" t="s">
        <v>2305</v>
      </c>
      <c r="E531" s="586" t="s">
        <v>316</v>
      </c>
      <c r="F531" s="675">
        <v>6.4276299999999995E-2</v>
      </c>
      <c r="G531" s="676">
        <v>3463.0023344000001</v>
      </c>
      <c r="H531" s="588">
        <v>487.2</v>
      </c>
      <c r="I531" s="587" t="s">
        <v>601</v>
      </c>
      <c r="J531" s="585">
        <v>2</v>
      </c>
      <c r="K531" s="585" t="s">
        <v>817</v>
      </c>
      <c r="L531" s="678">
        <v>348</v>
      </c>
      <c r="M531" s="649" t="s">
        <v>2533</v>
      </c>
      <c r="N531" s="679">
        <v>121.62599999999989</v>
      </c>
      <c r="O531" s="679">
        <v>243.24040000000008</v>
      </c>
      <c r="P531" s="589" t="s">
        <v>2534</v>
      </c>
      <c r="Q531" s="680">
        <v>336.67839999999967</v>
      </c>
      <c r="R531" s="696"/>
      <c r="S531" s="553"/>
      <c r="T531" s="553"/>
      <c r="U531" s="553"/>
      <c r="V531" s="553"/>
      <c r="W531" s="553"/>
      <c r="X531" s="553"/>
      <c r="Y531" s="553"/>
      <c r="Z531" s="553"/>
      <c r="AA531" s="553"/>
      <c r="AB531" s="554"/>
      <c r="AC531" s="555"/>
      <c r="AD531" s="556"/>
      <c r="AE531" s="556"/>
      <c r="AF531" s="556"/>
      <c r="AG531" s="556"/>
    </row>
    <row r="532" spans="1:33">
      <c r="A532" s="585">
        <v>518</v>
      </c>
      <c r="B532" s="587" t="s">
        <v>2828</v>
      </c>
      <c r="C532" s="585">
        <v>518</v>
      </c>
      <c r="D532" s="629" t="s">
        <v>2305</v>
      </c>
      <c r="E532" s="586" t="s">
        <v>317</v>
      </c>
      <c r="F532" s="675">
        <v>6.4276299999999995E-2</v>
      </c>
      <c r="G532" s="676">
        <v>3463.0023344000001</v>
      </c>
      <c r="H532" s="588">
        <v>487.2</v>
      </c>
      <c r="I532" s="587" t="s">
        <v>601</v>
      </c>
      <c r="J532" s="585">
        <v>2</v>
      </c>
      <c r="K532" s="585" t="s">
        <v>818</v>
      </c>
      <c r="L532" s="678">
        <v>348</v>
      </c>
      <c r="M532" s="649" t="s">
        <v>2533</v>
      </c>
      <c r="N532" s="679">
        <v>121.62599999999989</v>
      </c>
      <c r="O532" s="679">
        <v>243.24040000000008</v>
      </c>
      <c r="P532" s="589" t="s">
        <v>2534</v>
      </c>
      <c r="Q532" s="680">
        <v>336.67839999999967</v>
      </c>
      <c r="R532" s="696"/>
      <c r="S532" s="553"/>
      <c r="T532" s="553"/>
      <c r="U532" s="553"/>
      <c r="V532" s="553"/>
      <c r="W532" s="553"/>
      <c r="X532" s="553"/>
      <c r="Y532" s="553"/>
      <c r="Z532" s="553"/>
      <c r="AA532" s="553"/>
      <c r="AB532" s="554"/>
      <c r="AC532" s="555"/>
      <c r="AD532" s="556"/>
      <c r="AE532" s="556"/>
      <c r="AF532" s="556"/>
      <c r="AG532" s="556"/>
    </row>
    <row r="533" spans="1:33">
      <c r="A533" s="585">
        <v>519</v>
      </c>
      <c r="B533" s="587" t="s">
        <v>2829</v>
      </c>
      <c r="C533" s="585">
        <v>519</v>
      </c>
      <c r="D533" s="629" t="s">
        <v>2305</v>
      </c>
      <c r="E533" s="586" t="s">
        <v>318</v>
      </c>
      <c r="F533" s="675">
        <v>6.4276299999999995E-2</v>
      </c>
      <c r="G533" s="676">
        <v>3463.0023344000001</v>
      </c>
      <c r="H533" s="588">
        <v>487.2</v>
      </c>
      <c r="I533" s="587" t="s">
        <v>601</v>
      </c>
      <c r="J533" s="585">
        <v>2</v>
      </c>
      <c r="K533" s="585" t="s">
        <v>819</v>
      </c>
      <c r="L533" s="678">
        <v>348</v>
      </c>
      <c r="M533" s="649" t="s">
        <v>2533</v>
      </c>
      <c r="N533" s="679">
        <v>121.62599999999989</v>
      </c>
      <c r="O533" s="679">
        <v>243.24040000000008</v>
      </c>
      <c r="P533" s="589" t="s">
        <v>2534</v>
      </c>
      <c r="Q533" s="680">
        <v>336.67839999999967</v>
      </c>
      <c r="R533" s="696"/>
      <c r="S533" s="553"/>
      <c r="T533" s="553"/>
      <c r="U533" s="553"/>
      <c r="V533" s="553"/>
      <c r="W533" s="553"/>
      <c r="X533" s="553"/>
      <c r="Y533" s="553"/>
      <c r="Z533" s="553"/>
      <c r="AA533" s="553"/>
      <c r="AB533" s="554"/>
      <c r="AC533" s="555"/>
      <c r="AD533" s="556"/>
      <c r="AE533" s="556"/>
      <c r="AF533" s="556"/>
      <c r="AG533" s="556"/>
    </row>
    <row r="534" spans="1:33">
      <c r="A534" s="585">
        <v>520</v>
      </c>
      <c r="B534" s="587" t="s">
        <v>2830</v>
      </c>
      <c r="C534" s="585">
        <v>520</v>
      </c>
      <c r="D534" s="629" t="s">
        <v>2305</v>
      </c>
      <c r="E534" s="586" t="s">
        <v>319</v>
      </c>
      <c r="F534" s="675">
        <v>6.4276299999999995E-2</v>
      </c>
      <c r="G534" s="676">
        <v>3463.0023344000001</v>
      </c>
      <c r="H534" s="588">
        <v>487.2</v>
      </c>
      <c r="I534" s="587" t="s">
        <v>601</v>
      </c>
      <c r="J534" s="585">
        <v>2</v>
      </c>
      <c r="K534" s="585" t="s">
        <v>820</v>
      </c>
      <c r="L534" s="678">
        <v>348</v>
      </c>
      <c r="M534" s="649" t="s">
        <v>2533</v>
      </c>
      <c r="N534" s="679">
        <v>121.62599999999989</v>
      </c>
      <c r="O534" s="679">
        <v>243.24040000000008</v>
      </c>
      <c r="P534" s="589" t="s">
        <v>2534</v>
      </c>
      <c r="Q534" s="680">
        <v>336.67839999999967</v>
      </c>
      <c r="R534" s="696"/>
      <c r="S534" s="553"/>
      <c r="T534" s="553"/>
      <c r="U534" s="553"/>
      <c r="V534" s="553"/>
      <c r="W534" s="553"/>
      <c r="X534" s="553"/>
      <c r="Y534" s="553"/>
      <c r="Z534" s="553"/>
      <c r="AA534" s="553"/>
      <c r="AB534" s="554"/>
      <c r="AC534" s="555"/>
      <c r="AD534" s="556"/>
      <c r="AE534" s="556"/>
      <c r="AF534" s="556"/>
      <c r="AG534" s="556"/>
    </row>
    <row r="535" spans="1:33">
      <c r="A535" s="585">
        <v>521</v>
      </c>
      <c r="B535" s="587" t="s">
        <v>2831</v>
      </c>
      <c r="C535" s="585">
        <v>521</v>
      </c>
      <c r="D535" s="629" t="s">
        <v>2305</v>
      </c>
      <c r="E535" s="586" t="s">
        <v>2445</v>
      </c>
      <c r="F535" s="675">
        <v>6.4276299999999995E-2</v>
      </c>
      <c r="G535" s="676">
        <v>3463.0023344000001</v>
      </c>
      <c r="H535" s="588">
        <v>487.2</v>
      </c>
      <c r="I535" s="587" t="s">
        <v>601</v>
      </c>
      <c r="J535" s="585">
        <v>2</v>
      </c>
      <c r="K535" s="585" t="s">
        <v>821</v>
      </c>
      <c r="L535" s="678">
        <v>348</v>
      </c>
      <c r="M535" s="649" t="s">
        <v>2533</v>
      </c>
      <c r="N535" s="679">
        <v>121.62599999999989</v>
      </c>
      <c r="O535" s="679">
        <v>243.24040000000008</v>
      </c>
      <c r="P535" s="589" t="s">
        <v>2534</v>
      </c>
      <c r="Q535" s="680">
        <v>336.67839999999967</v>
      </c>
      <c r="R535" s="696"/>
      <c r="S535" s="553"/>
      <c r="T535" s="553"/>
      <c r="U535" s="553"/>
      <c r="V535" s="553"/>
      <c r="W535" s="553"/>
      <c r="X535" s="553"/>
      <c r="Y535" s="553"/>
      <c r="Z535" s="553"/>
      <c r="AA535" s="553"/>
      <c r="AB535" s="554"/>
      <c r="AC535" s="555"/>
      <c r="AD535" s="556"/>
      <c r="AE535" s="556"/>
      <c r="AF535" s="556"/>
      <c r="AG535" s="556"/>
    </row>
    <row r="536" spans="1:33">
      <c r="A536" s="585">
        <v>522</v>
      </c>
      <c r="B536" s="587" t="s">
        <v>2832</v>
      </c>
      <c r="C536" s="585">
        <v>522</v>
      </c>
      <c r="D536" s="629" t="s">
        <v>2305</v>
      </c>
      <c r="E536" s="586" t="s">
        <v>320</v>
      </c>
      <c r="F536" s="675">
        <v>6.4276299999999995E-2</v>
      </c>
      <c r="G536" s="676">
        <v>3463.0023344000001</v>
      </c>
      <c r="H536" s="588">
        <v>487.2</v>
      </c>
      <c r="I536" s="587" t="s">
        <v>601</v>
      </c>
      <c r="J536" s="585">
        <v>2</v>
      </c>
      <c r="K536" s="585" t="s">
        <v>822</v>
      </c>
      <c r="L536" s="678">
        <v>348</v>
      </c>
      <c r="M536" s="649" t="s">
        <v>2533</v>
      </c>
      <c r="N536" s="679">
        <v>121.62599999999989</v>
      </c>
      <c r="O536" s="679">
        <v>243.24040000000008</v>
      </c>
      <c r="P536" s="589" t="s">
        <v>2534</v>
      </c>
      <c r="Q536" s="680">
        <v>336.67839999999967</v>
      </c>
      <c r="R536" s="696"/>
      <c r="S536" s="553"/>
      <c r="T536" s="553"/>
      <c r="U536" s="553"/>
      <c r="V536" s="553"/>
      <c r="W536" s="553"/>
      <c r="X536" s="553"/>
      <c r="Y536" s="553"/>
      <c r="Z536" s="553"/>
      <c r="AA536" s="553"/>
      <c r="AB536" s="554"/>
      <c r="AC536" s="555"/>
      <c r="AD536" s="556"/>
      <c r="AE536" s="556"/>
      <c r="AF536" s="556"/>
      <c r="AG536" s="556"/>
    </row>
    <row r="537" spans="1:33">
      <c r="A537" s="585">
        <v>523</v>
      </c>
      <c r="B537" s="587" t="s">
        <v>2833</v>
      </c>
      <c r="C537" s="585">
        <v>523</v>
      </c>
      <c r="D537" s="629" t="s">
        <v>2305</v>
      </c>
      <c r="E537" s="586" t="s">
        <v>321</v>
      </c>
      <c r="F537" s="675">
        <v>5.9315399999999997E-2</v>
      </c>
      <c r="G537" s="676">
        <v>3463.0023344000001</v>
      </c>
      <c r="H537" s="588">
        <v>487.2</v>
      </c>
      <c r="I537" s="587" t="s">
        <v>601</v>
      </c>
      <c r="J537" s="585">
        <v>2</v>
      </c>
      <c r="K537" s="585" t="s">
        <v>823</v>
      </c>
      <c r="L537" s="678">
        <v>348</v>
      </c>
      <c r="M537" s="649" t="s">
        <v>2533</v>
      </c>
      <c r="N537" s="679">
        <v>121.62599999999989</v>
      </c>
      <c r="O537" s="679">
        <v>243.24040000000008</v>
      </c>
      <c r="P537" s="589" t="s">
        <v>2534</v>
      </c>
      <c r="Q537" s="680">
        <v>336.67839999999967</v>
      </c>
      <c r="R537" s="696"/>
      <c r="S537" s="553"/>
      <c r="T537" s="553"/>
      <c r="U537" s="553"/>
      <c r="V537" s="553"/>
      <c r="W537" s="553"/>
      <c r="X537" s="553"/>
      <c r="Y537" s="553"/>
      <c r="Z537" s="553"/>
      <c r="AA537" s="553"/>
      <c r="AB537" s="554"/>
      <c r="AC537" s="555"/>
      <c r="AD537" s="556"/>
      <c r="AE537" s="556"/>
      <c r="AF537" s="556"/>
      <c r="AG537" s="556"/>
    </row>
    <row r="538" spans="1:33">
      <c r="A538" s="585">
        <v>524</v>
      </c>
      <c r="B538" s="587" t="s">
        <v>2834</v>
      </c>
      <c r="C538" s="585">
        <v>524</v>
      </c>
      <c r="D538" s="629" t="s">
        <v>2305</v>
      </c>
      <c r="E538" s="586" t="s">
        <v>322</v>
      </c>
      <c r="F538" s="675">
        <v>6.4276299999999995E-2</v>
      </c>
      <c r="G538" s="676">
        <v>3463.0023344000001</v>
      </c>
      <c r="H538" s="588">
        <v>487.2</v>
      </c>
      <c r="I538" s="587" t="s">
        <v>601</v>
      </c>
      <c r="J538" s="585">
        <v>2</v>
      </c>
      <c r="K538" s="585" t="s">
        <v>824</v>
      </c>
      <c r="L538" s="678">
        <v>348</v>
      </c>
      <c r="M538" s="649" t="s">
        <v>2533</v>
      </c>
      <c r="N538" s="679">
        <v>121.62599999999989</v>
      </c>
      <c r="O538" s="679">
        <v>243.24040000000008</v>
      </c>
      <c r="P538" s="589" t="s">
        <v>2534</v>
      </c>
      <c r="Q538" s="680">
        <v>336.67839999999967</v>
      </c>
      <c r="R538" s="696"/>
      <c r="S538" s="553"/>
      <c r="T538" s="553"/>
      <c r="U538" s="553"/>
      <c r="V538" s="553"/>
      <c r="W538" s="553"/>
      <c r="X538" s="553"/>
      <c r="Y538" s="553"/>
      <c r="Z538" s="553"/>
      <c r="AA538" s="553"/>
      <c r="AB538" s="554"/>
      <c r="AC538" s="555"/>
      <c r="AD538" s="556"/>
      <c r="AE538" s="556"/>
      <c r="AF538" s="556"/>
      <c r="AG538" s="556"/>
    </row>
    <row r="539" spans="1:33">
      <c r="A539" s="585">
        <v>525</v>
      </c>
      <c r="B539" s="587" t="s">
        <v>2835</v>
      </c>
      <c r="C539" s="585">
        <v>525</v>
      </c>
      <c r="D539" s="629" t="s">
        <v>2305</v>
      </c>
      <c r="E539" s="586" t="s">
        <v>323</v>
      </c>
      <c r="F539" s="675">
        <v>5.9315399999999997E-2</v>
      </c>
      <c r="G539" s="676">
        <v>3463.0023344000001</v>
      </c>
      <c r="H539" s="588">
        <v>487.2</v>
      </c>
      <c r="I539" s="587" t="s">
        <v>601</v>
      </c>
      <c r="J539" s="585">
        <v>2</v>
      </c>
      <c r="K539" s="585" t="s">
        <v>825</v>
      </c>
      <c r="L539" s="678">
        <v>348</v>
      </c>
      <c r="M539" s="649" t="s">
        <v>2533</v>
      </c>
      <c r="N539" s="679">
        <v>121.62599999999989</v>
      </c>
      <c r="O539" s="679">
        <v>243.24040000000008</v>
      </c>
      <c r="P539" s="589" t="s">
        <v>2534</v>
      </c>
      <c r="Q539" s="680">
        <v>336.67839999999967</v>
      </c>
      <c r="R539" s="696"/>
      <c r="S539" s="553"/>
      <c r="T539" s="553"/>
      <c r="U539" s="553"/>
      <c r="V539" s="553"/>
      <c r="W539" s="553"/>
      <c r="X539" s="553"/>
      <c r="Y539" s="553"/>
      <c r="Z539" s="553"/>
      <c r="AA539" s="553"/>
      <c r="AB539" s="554"/>
      <c r="AC539" s="555"/>
      <c r="AD539" s="556"/>
      <c r="AE539" s="556"/>
      <c r="AF539" s="556"/>
      <c r="AG539" s="556"/>
    </row>
    <row r="540" spans="1:33">
      <c r="A540" s="585">
        <v>526</v>
      </c>
      <c r="B540" s="587" t="s">
        <v>2836</v>
      </c>
      <c r="C540" s="585">
        <v>526</v>
      </c>
      <c r="D540" s="629" t="s">
        <v>2305</v>
      </c>
      <c r="E540" s="586" t="s">
        <v>324</v>
      </c>
      <c r="F540" s="675">
        <v>6.4276299999999995E-2</v>
      </c>
      <c r="G540" s="676">
        <v>3463.0023344000001</v>
      </c>
      <c r="H540" s="588">
        <v>487.2</v>
      </c>
      <c r="I540" s="587" t="s">
        <v>601</v>
      </c>
      <c r="J540" s="585">
        <v>2</v>
      </c>
      <c r="K540" s="585" t="s">
        <v>826</v>
      </c>
      <c r="L540" s="678">
        <v>348</v>
      </c>
      <c r="M540" s="649" t="s">
        <v>2533</v>
      </c>
      <c r="N540" s="679">
        <v>121.62599999999989</v>
      </c>
      <c r="O540" s="679">
        <v>243.24040000000008</v>
      </c>
      <c r="P540" s="589" t="s">
        <v>2534</v>
      </c>
      <c r="Q540" s="680">
        <v>336.67839999999967</v>
      </c>
      <c r="R540" s="696"/>
      <c r="S540" s="553"/>
      <c r="T540" s="553"/>
      <c r="U540" s="553"/>
      <c r="V540" s="553"/>
      <c r="W540" s="553"/>
      <c r="X540" s="553"/>
      <c r="Y540" s="553"/>
      <c r="Z540" s="553"/>
      <c r="AA540" s="553"/>
      <c r="AB540" s="554"/>
      <c r="AC540" s="555"/>
      <c r="AD540" s="556"/>
      <c r="AE540" s="556"/>
      <c r="AF540" s="556"/>
      <c r="AG540" s="556"/>
    </row>
    <row r="541" spans="1:33">
      <c r="A541" s="585">
        <v>527</v>
      </c>
      <c r="B541" s="587" t="s">
        <v>2837</v>
      </c>
      <c r="C541" s="585">
        <v>527</v>
      </c>
      <c r="D541" s="629" t="s">
        <v>2305</v>
      </c>
      <c r="E541" s="586" t="s">
        <v>325</v>
      </c>
      <c r="F541" s="675">
        <v>6.4276299999999995E-2</v>
      </c>
      <c r="G541" s="676">
        <v>3463.0023344000001</v>
      </c>
      <c r="H541" s="588">
        <v>487.2</v>
      </c>
      <c r="I541" s="587" t="s">
        <v>601</v>
      </c>
      <c r="J541" s="585">
        <v>2</v>
      </c>
      <c r="K541" s="585" t="s">
        <v>827</v>
      </c>
      <c r="L541" s="678">
        <v>348</v>
      </c>
      <c r="M541" s="649" t="s">
        <v>2533</v>
      </c>
      <c r="N541" s="679">
        <v>121.62599999999989</v>
      </c>
      <c r="O541" s="679">
        <v>243.24040000000008</v>
      </c>
      <c r="P541" s="589" t="s">
        <v>2534</v>
      </c>
      <c r="Q541" s="680">
        <v>336.67839999999967</v>
      </c>
      <c r="R541" s="696"/>
      <c r="S541" s="553"/>
      <c r="T541" s="553"/>
      <c r="U541" s="553"/>
      <c r="V541" s="553"/>
      <c r="W541" s="553"/>
      <c r="X541" s="553"/>
      <c r="Y541" s="553"/>
      <c r="Z541" s="553"/>
      <c r="AA541" s="553"/>
      <c r="AB541" s="554"/>
      <c r="AC541" s="555"/>
      <c r="AD541" s="556"/>
      <c r="AE541" s="556"/>
      <c r="AF541" s="556"/>
      <c r="AG541" s="556"/>
    </row>
    <row r="542" spans="1:33">
      <c r="A542" s="585">
        <v>528</v>
      </c>
      <c r="B542" s="587" t="s">
        <v>2838</v>
      </c>
      <c r="C542" s="585">
        <v>528</v>
      </c>
      <c r="D542" s="629" t="s">
        <v>2305</v>
      </c>
      <c r="E542" s="586" t="s">
        <v>326</v>
      </c>
      <c r="F542" s="675">
        <v>4.77372E-2</v>
      </c>
      <c r="G542" s="676">
        <v>2538.48</v>
      </c>
      <c r="H542" s="588">
        <v>487.2</v>
      </c>
      <c r="I542" s="587" t="s">
        <v>549</v>
      </c>
      <c r="J542" s="585">
        <v>1</v>
      </c>
      <c r="K542" s="585" t="s">
        <v>828</v>
      </c>
      <c r="L542" s="678">
        <v>348</v>
      </c>
      <c r="M542" s="649" t="s">
        <v>2533</v>
      </c>
      <c r="N542" s="679">
        <v>67.071199999999919</v>
      </c>
      <c r="O542" s="679">
        <v>134.15400000000011</v>
      </c>
      <c r="P542" s="589" t="s">
        <v>2534</v>
      </c>
      <c r="Q542" s="680">
        <v>336.67839999999967</v>
      </c>
      <c r="R542" s="696"/>
      <c r="S542" s="553"/>
      <c r="T542" s="553"/>
      <c r="U542" s="553"/>
      <c r="V542" s="553"/>
      <c r="W542" s="553"/>
      <c r="X542" s="553"/>
      <c r="Y542" s="553"/>
      <c r="Z542" s="553"/>
      <c r="AA542" s="553"/>
      <c r="AB542" s="554"/>
      <c r="AC542" s="555"/>
      <c r="AD542" s="556"/>
      <c r="AE542" s="556"/>
      <c r="AF542" s="556"/>
      <c r="AG542" s="556"/>
    </row>
    <row r="543" spans="1:33">
      <c r="A543" s="585">
        <v>529</v>
      </c>
      <c r="B543" s="587" t="s">
        <v>2839</v>
      </c>
      <c r="C543" s="585">
        <v>529</v>
      </c>
      <c r="D543" s="629" t="s">
        <v>2305</v>
      </c>
      <c r="E543" s="586" t="s">
        <v>327</v>
      </c>
      <c r="F543" s="675">
        <v>5.1454800000000002E-2</v>
      </c>
      <c r="G543" s="676">
        <v>2538.48</v>
      </c>
      <c r="H543" s="588">
        <v>487.2</v>
      </c>
      <c r="I543" s="587" t="s">
        <v>549</v>
      </c>
      <c r="J543" s="585">
        <v>1</v>
      </c>
      <c r="K543" s="585" t="s">
        <v>829</v>
      </c>
      <c r="L543" s="678">
        <v>348</v>
      </c>
      <c r="M543" s="649" t="s">
        <v>2533</v>
      </c>
      <c r="N543" s="679">
        <v>67.071199999999919</v>
      </c>
      <c r="O543" s="679">
        <v>134.15400000000011</v>
      </c>
      <c r="P543" s="589" t="s">
        <v>2534</v>
      </c>
      <c r="Q543" s="680">
        <v>336.67839999999967</v>
      </c>
      <c r="R543" s="696"/>
      <c r="S543" s="553"/>
      <c r="T543" s="553"/>
      <c r="U543" s="553"/>
      <c r="V543" s="553"/>
      <c r="W543" s="553"/>
      <c r="X543" s="553"/>
      <c r="Y543" s="553"/>
      <c r="Z543" s="553"/>
      <c r="AA543" s="553"/>
      <c r="AB543" s="554"/>
      <c r="AC543" s="555"/>
      <c r="AD543" s="556"/>
      <c r="AE543" s="556"/>
      <c r="AF543" s="556"/>
      <c r="AG543" s="556"/>
    </row>
    <row r="544" spans="1:33">
      <c r="A544" s="585">
        <v>530</v>
      </c>
      <c r="B544" s="587" t="s">
        <v>2840</v>
      </c>
      <c r="C544" s="585">
        <v>530</v>
      </c>
      <c r="D544" s="629" t="s">
        <v>2305</v>
      </c>
      <c r="E544" s="586" t="s">
        <v>328</v>
      </c>
      <c r="F544" s="675">
        <v>4.0564700000000002E-2</v>
      </c>
      <c r="G544" s="676">
        <v>2538.48</v>
      </c>
      <c r="H544" s="588">
        <v>487.2</v>
      </c>
      <c r="I544" s="587" t="s">
        <v>549</v>
      </c>
      <c r="J544" s="585">
        <v>1</v>
      </c>
      <c r="K544" s="585" t="s">
        <v>830</v>
      </c>
      <c r="L544" s="678">
        <v>348</v>
      </c>
      <c r="M544" s="649" t="s">
        <v>2533</v>
      </c>
      <c r="N544" s="679">
        <v>67.071199999999919</v>
      </c>
      <c r="O544" s="679">
        <v>134.15400000000011</v>
      </c>
      <c r="P544" s="589" t="s">
        <v>2534</v>
      </c>
      <c r="Q544" s="680">
        <v>336.67839999999967</v>
      </c>
      <c r="R544" s="696"/>
      <c r="S544" s="553"/>
      <c r="T544" s="553"/>
      <c r="U544" s="553"/>
      <c r="V544" s="553"/>
      <c r="W544" s="553"/>
      <c r="X544" s="553"/>
      <c r="Y544" s="553"/>
      <c r="Z544" s="553"/>
      <c r="AA544" s="553"/>
      <c r="AB544" s="554"/>
      <c r="AC544" s="555"/>
      <c r="AD544" s="556"/>
      <c r="AE544" s="556"/>
      <c r="AF544" s="556"/>
      <c r="AG544" s="556"/>
    </row>
    <row r="545" spans="1:33">
      <c r="A545" s="585">
        <v>531</v>
      </c>
      <c r="B545" s="587" t="s">
        <v>2841</v>
      </c>
      <c r="C545" s="585">
        <v>531</v>
      </c>
      <c r="D545" s="629" t="s">
        <v>2305</v>
      </c>
      <c r="E545" s="586" t="s">
        <v>329</v>
      </c>
      <c r="F545" s="675">
        <v>4.2803399999999998E-2</v>
      </c>
      <c r="G545" s="676">
        <v>2538.48</v>
      </c>
      <c r="H545" s="588">
        <v>487.2</v>
      </c>
      <c r="I545" s="587" t="s">
        <v>549</v>
      </c>
      <c r="J545" s="585">
        <v>1</v>
      </c>
      <c r="K545" s="585" t="s">
        <v>831</v>
      </c>
      <c r="L545" s="678">
        <v>348</v>
      </c>
      <c r="M545" s="649" t="s">
        <v>2533</v>
      </c>
      <c r="N545" s="679">
        <v>67.071199999999919</v>
      </c>
      <c r="O545" s="679">
        <v>134.15400000000011</v>
      </c>
      <c r="P545" s="589" t="s">
        <v>2534</v>
      </c>
      <c r="Q545" s="680">
        <v>336.67839999999967</v>
      </c>
      <c r="R545" s="696"/>
      <c r="S545" s="553"/>
      <c r="T545" s="553"/>
      <c r="U545" s="553"/>
      <c r="V545" s="553"/>
      <c r="W545" s="553"/>
      <c r="X545" s="553"/>
      <c r="Y545" s="553"/>
      <c r="Z545" s="553"/>
      <c r="AA545" s="553"/>
      <c r="AB545" s="554"/>
      <c r="AC545" s="555"/>
      <c r="AD545" s="556"/>
      <c r="AE545" s="556"/>
      <c r="AF545" s="556"/>
      <c r="AG545" s="556"/>
    </row>
    <row r="546" spans="1:33">
      <c r="A546" s="585">
        <v>532</v>
      </c>
      <c r="B546" s="587" t="s">
        <v>2842</v>
      </c>
      <c r="C546" s="585">
        <v>532</v>
      </c>
      <c r="D546" s="629" t="s">
        <v>2305</v>
      </c>
      <c r="E546" s="586" t="s">
        <v>330</v>
      </c>
      <c r="F546" s="675">
        <v>3.9994399999999999E-2</v>
      </c>
      <c r="G546" s="676">
        <v>2538.48</v>
      </c>
      <c r="H546" s="588">
        <v>487.2</v>
      </c>
      <c r="I546" s="587" t="s">
        <v>549</v>
      </c>
      <c r="J546" s="585">
        <v>1</v>
      </c>
      <c r="K546" s="585" t="s">
        <v>832</v>
      </c>
      <c r="L546" s="678">
        <v>348</v>
      </c>
      <c r="M546" s="649" t="s">
        <v>2533</v>
      </c>
      <c r="N546" s="679">
        <v>67.071199999999919</v>
      </c>
      <c r="O546" s="679">
        <v>134.15400000000011</v>
      </c>
      <c r="P546" s="589" t="s">
        <v>2534</v>
      </c>
      <c r="Q546" s="680">
        <v>336.67839999999967</v>
      </c>
      <c r="R546" s="696"/>
      <c r="S546" s="553"/>
      <c r="T546" s="553"/>
      <c r="U546" s="553"/>
      <c r="V546" s="553"/>
      <c r="W546" s="553"/>
      <c r="X546" s="553"/>
      <c r="Y546" s="553"/>
      <c r="Z546" s="553"/>
      <c r="AA546" s="553"/>
      <c r="AB546" s="554"/>
      <c r="AC546" s="555"/>
      <c r="AD546" s="556"/>
      <c r="AE546" s="556"/>
      <c r="AF546" s="556"/>
      <c r="AG546" s="556"/>
    </row>
    <row r="547" spans="1:33">
      <c r="A547" s="585">
        <v>533</v>
      </c>
      <c r="B547" s="587" t="s">
        <v>2843</v>
      </c>
      <c r="C547" s="585">
        <v>533</v>
      </c>
      <c r="D547" s="629" t="s">
        <v>2305</v>
      </c>
      <c r="E547" s="586" t="s">
        <v>331</v>
      </c>
      <c r="F547" s="675">
        <v>5.4662800000000004E-2</v>
      </c>
      <c r="G547" s="676">
        <v>2538.48</v>
      </c>
      <c r="H547" s="588">
        <v>487.2</v>
      </c>
      <c r="I547" s="587" t="s">
        <v>549</v>
      </c>
      <c r="J547" s="585">
        <v>1</v>
      </c>
      <c r="K547" s="585" t="s">
        <v>833</v>
      </c>
      <c r="L547" s="678">
        <v>348</v>
      </c>
      <c r="M547" s="649" t="s">
        <v>2533</v>
      </c>
      <c r="N547" s="679">
        <v>67.071199999999919</v>
      </c>
      <c r="O547" s="679">
        <v>134.15400000000011</v>
      </c>
      <c r="P547" s="589" t="s">
        <v>2534</v>
      </c>
      <c r="Q547" s="680">
        <v>336.67839999999967</v>
      </c>
      <c r="R547" s="696"/>
      <c r="S547" s="553"/>
      <c r="T547" s="553"/>
      <c r="U547" s="553"/>
      <c r="V547" s="553"/>
      <c r="W547" s="553"/>
      <c r="X547" s="553"/>
      <c r="Y547" s="553"/>
      <c r="Z547" s="553"/>
      <c r="AA547" s="553"/>
      <c r="AB547" s="554"/>
      <c r="AC547" s="555"/>
      <c r="AD547" s="556"/>
      <c r="AE547" s="556"/>
      <c r="AF547" s="556"/>
      <c r="AG547" s="556"/>
    </row>
    <row r="548" spans="1:33">
      <c r="A548" s="585">
        <v>534</v>
      </c>
      <c r="B548" s="587" t="s">
        <v>2844</v>
      </c>
      <c r="C548" s="585">
        <v>534</v>
      </c>
      <c r="D548" s="629" t="s">
        <v>2305</v>
      </c>
      <c r="E548" s="586" t="s">
        <v>332</v>
      </c>
      <c r="F548" s="675">
        <v>3.8220400000000002E-2</v>
      </c>
      <c r="G548" s="676">
        <v>2538.48</v>
      </c>
      <c r="H548" s="588">
        <v>487.2</v>
      </c>
      <c r="I548" s="587" t="s">
        <v>549</v>
      </c>
      <c r="J548" s="585">
        <v>1</v>
      </c>
      <c r="K548" s="585" t="s">
        <v>834</v>
      </c>
      <c r="L548" s="678">
        <v>348</v>
      </c>
      <c r="M548" s="649" t="s">
        <v>2533</v>
      </c>
      <c r="N548" s="679">
        <v>67.071199999999919</v>
      </c>
      <c r="O548" s="679">
        <v>134.15400000000011</v>
      </c>
      <c r="P548" s="589" t="s">
        <v>2534</v>
      </c>
      <c r="Q548" s="680">
        <v>336.67839999999967</v>
      </c>
      <c r="R548" s="696"/>
      <c r="S548" s="553"/>
      <c r="T548" s="553"/>
      <c r="U548" s="553"/>
      <c r="V548" s="553"/>
      <c r="W548" s="553"/>
      <c r="X548" s="553"/>
      <c r="Y548" s="553"/>
      <c r="Z548" s="553"/>
      <c r="AA548" s="553"/>
      <c r="AB548" s="554"/>
      <c r="AC548" s="555"/>
      <c r="AD548" s="556"/>
      <c r="AE548" s="556"/>
      <c r="AF548" s="556"/>
      <c r="AG548" s="556"/>
    </row>
    <row r="549" spans="1:33">
      <c r="A549" s="585">
        <v>535</v>
      </c>
      <c r="B549" s="587" t="s">
        <v>2845</v>
      </c>
      <c r="C549" s="585">
        <v>535</v>
      </c>
      <c r="D549" s="629" t="s">
        <v>2305</v>
      </c>
      <c r="E549" s="586" t="s">
        <v>333</v>
      </c>
      <c r="F549" s="675">
        <v>6.1468600000000005E-2</v>
      </c>
      <c r="G549" s="676">
        <v>3463.0023344000001</v>
      </c>
      <c r="H549" s="588">
        <v>487.2</v>
      </c>
      <c r="I549" s="587" t="s">
        <v>601</v>
      </c>
      <c r="J549" s="585">
        <v>2</v>
      </c>
      <c r="K549" s="585" t="s">
        <v>835</v>
      </c>
      <c r="L549" s="678">
        <v>348</v>
      </c>
      <c r="M549" s="649" t="s">
        <v>2533</v>
      </c>
      <c r="N549" s="679">
        <v>121.62599999999989</v>
      </c>
      <c r="O549" s="679">
        <v>243.24040000000008</v>
      </c>
      <c r="P549" s="589" t="s">
        <v>2534</v>
      </c>
      <c r="Q549" s="680">
        <v>336.67839999999967</v>
      </c>
      <c r="R549" s="696"/>
      <c r="S549" s="553"/>
      <c r="T549" s="553"/>
      <c r="U549" s="553"/>
      <c r="V549" s="553"/>
      <c r="W549" s="553"/>
      <c r="X549" s="553"/>
      <c r="Y549" s="553"/>
      <c r="Z549" s="553"/>
      <c r="AA549" s="553"/>
      <c r="AB549" s="554"/>
      <c r="AC549" s="555"/>
      <c r="AD549" s="556"/>
      <c r="AE549" s="556"/>
      <c r="AF549" s="556"/>
      <c r="AG549" s="556"/>
    </row>
    <row r="550" spans="1:33">
      <c r="A550" s="585">
        <v>536</v>
      </c>
      <c r="B550" s="587" t="s">
        <v>2846</v>
      </c>
      <c r="C550" s="585">
        <v>536</v>
      </c>
      <c r="D550" s="629" t="s">
        <v>2305</v>
      </c>
      <c r="E550" s="586" t="s">
        <v>334</v>
      </c>
      <c r="F550" s="675">
        <v>3.8552799999999998E-2</v>
      </c>
      <c r="G550" s="676">
        <v>2538.48</v>
      </c>
      <c r="H550" s="588">
        <v>487.2</v>
      </c>
      <c r="I550" s="587" t="s">
        <v>549</v>
      </c>
      <c r="J550" s="585">
        <v>1</v>
      </c>
      <c r="K550" s="585" t="s">
        <v>836</v>
      </c>
      <c r="L550" s="678">
        <v>348</v>
      </c>
      <c r="M550" s="649" t="s">
        <v>2533</v>
      </c>
      <c r="N550" s="679">
        <v>67.071199999999919</v>
      </c>
      <c r="O550" s="679">
        <v>134.15400000000011</v>
      </c>
      <c r="P550" s="589" t="s">
        <v>2534</v>
      </c>
      <c r="Q550" s="680">
        <v>336.67839999999967</v>
      </c>
      <c r="R550" s="696"/>
      <c r="S550" s="553"/>
      <c r="T550" s="553"/>
      <c r="U550" s="553"/>
      <c r="V550" s="553"/>
      <c r="W550" s="553"/>
      <c r="X550" s="553"/>
      <c r="Y550" s="553"/>
      <c r="Z550" s="553"/>
      <c r="AA550" s="553"/>
      <c r="AB550" s="554"/>
      <c r="AC550" s="555"/>
      <c r="AD550" s="556"/>
      <c r="AE550" s="556"/>
      <c r="AF550" s="556"/>
      <c r="AG550" s="556"/>
    </row>
    <row r="551" spans="1:33">
      <c r="A551" s="585">
        <v>537</v>
      </c>
      <c r="B551" s="587" t="s">
        <v>2847</v>
      </c>
      <c r="C551" s="585">
        <v>537</v>
      </c>
      <c r="D551" s="629" t="s">
        <v>2305</v>
      </c>
      <c r="E551" s="586" t="s">
        <v>335</v>
      </c>
      <c r="F551" s="675">
        <v>5.2678500000000003E-2</v>
      </c>
      <c r="G551" s="676">
        <v>2538.48</v>
      </c>
      <c r="H551" s="588">
        <v>487.2</v>
      </c>
      <c r="I551" s="587" t="s">
        <v>549</v>
      </c>
      <c r="J551" s="585">
        <v>1</v>
      </c>
      <c r="K551" s="585" t="s">
        <v>837</v>
      </c>
      <c r="L551" s="678">
        <v>348</v>
      </c>
      <c r="M551" s="649" t="s">
        <v>2533</v>
      </c>
      <c r="N551" s="679">
        <v>67.071199999999919</v>
      </c>
      <c r="O551" s="679">
        <v>134.15400000000011</v>
      </c>
      <c r="P551" s="589" t="s">
        <v>2534</v>
      </c>
      <c r="Q551" s="680">
        <v>336.67839999999967</v>
      </c>
      <c r="R551" s="696"/>
      <c r="S551" s="553"/>
      <c r="T551" s="553"/>
      <c r="U551" s="553"/>
      <c r="V551" s="553"/>
      <c r="W551" s="553"/>
      <c r="X551" s="553"/>
      <c r="Y551" s="553"/>
      <c r="Z551" s="553"/>
      <c r="AA551" s="553"/>
      <c r="AB551" s="554"/>
      <c r="AC551" s="555"/>
      <c r="AD551" s="556"/>
      <c r="AE551" s="556"/>
      <c r="AF551" s="556"/>
      <c r="AG551" s="556"/>
    </row>
    <row r="552" spans="1:33">
      <c r="A552" s="585">
        <v>538</v>
      </c>
      <c r="B552" s="587" t="s">
        <v>2848</v>
      </c>
      <c r="C552" s="585">
        <v>538</v>
      </c>
      <c r="D552" s="629" t="s">
        <v>2306</v>
      </c>
      <c r="E552" s="586" t="s">
        <v>4442</v>
      </c>
      <c r="F552" s="675">
        <v>5.7638800000000004E-2</v>
      </c>
      <c r="G552" s="676">
        <v>2538.48</v>
      </c>
      <c r="H552" s="588">
        <v>487.2</v>
      </c>
      <c r="I552" s="587" t="s">
        <v>549</v>
      </c>
      <c r="J552" s="585">
        <v>1</v>
      </c>
      <c r="K552" s="585" t="s">
        <v>838</v>
      </c>
      <c r="L552" s="678">
        <v>348</v>
      </c>
      <c r="M552" s="649" t="s">
        <v>2533</v>
      </c>
      <c r="N552" s="679">
        <v>67.071199999999919</v>
      </c>
      <c r="O552" s="679">
        <v>134.15400000000011</v>
      </c>
      <c r="P552" s="589" t="s">
        <v>2534</v>
      </c>
      <c r="Q552" s="680">
        <v>336.67839999999967</v>
      </c>
      <c r="R552" s="696"/>
      <c r="S552" s="553"/>
      <c r="T552" s="553"/>
      <c r="U552" s="553"/>
      <c r="V552" s="553"/>
      <c r="W552" s="553"/>
      <c r="X552" s="553"/>
      <c r="Y552" s="553"/>
      <c r="Z552" s="553"/>
      <c r="AA552" s="553"/>
      <c r="AB552" s="554"/>
      <c r="AC552" s="555"/>
      <c r="AD552" s="556"/>
      <c r="AE552" s="556"/>
      <c r="AF552" s="556"/>
      <c r="AG552" s="556"/>
    </row>
    <row r="553" spans="1:33">
      <c r="A553" s="585">
        <v>539</v>
      </c>
      <c r="B553" s="587" t="s">
        <v>3342</v>
      </c>
      <c r="C553" s="585">
        <v>539</v>
      </c>
      <c r="D553" s="629" t="s">
        <v>2306</v>
      </c>
      <c r="E553" s="586" t="s">
        <v>4443</v>
      </c>
      <c r="F553" s="675">
        <v>5.6164899999999997E-2</v>
      </c>
      <c r="G553" s="676">
        <v>2538.48</v>
      </c>
      <c r="H553" s="588">
        <v>487.2</v>
      </c>
      <c r="I553" s="587" t="s">
        <v>549</v>
      </c>
      <c r="J553" s="585">
        <v>1</v>
      </c>
      <c r="K553" s="585" t="s">
        <v>3377</v>
      </c>
      <c r="L553" s="678">
        <v>348</v>
      </c>
      <c r="M553" s="649" t="s">
        <v>2533</v>
      </c>
      <c r="N553" s="679">
        <v>67.071199999999919</v>
      </c>
      <c r="O553" s="679">
        <v>134.15400000000011</v>
      </c>
      <c r="P553" s="589" t="s">
        <v>2534</v>
      </c>
      <c r="Q553" s="680">
        <v>336.67839999999967</v>
      </c>
      <c r="R553" s="696"/>
      <c r="S553" s="553"/>
      <c r="T553" s="553"/>
      <c r="U553" s="553"/>
      <c r="V553" s="553"/>
      <c r="W553" s="553"/>
      <c r="X553" s="553"/>
      <c r="Y553" s="553"/>
      <c r="Z553" s="553"/>
      <c r="AA553" s="553"/>
      <c r="AB553" s="554"/>
      <c r="AC553" s="555"/>
      <c r="AD553" s="556"/>
      <c r="AE553" s="556"/>
      <c r="AF553" s="556"/>
      <c r="AG553" s="556"/>
    </row>
    <row r="554" spans="1:33">
      <c r="A554" s="585">
        <v>540</v>
      </c>
      <c r="B554" s="587" t="s">
        <v>3320</v>
      </c>
      <c r="C554" s="585">
        <v>540</v>
      </c>
      <c r="D554" s="629" t="s">
        <v>2306</v>
      </c>
      <c r="E554" s="586" t="s">
        <v>4446</v>
      </c>
      <c r="F554" s="675">
        <v>3.64564E-2</v>
      </c>
      <c r="G554" s="676">
        <v>2538.48</v>
      </c>
      <c r="H554" s="588">
        <v>487.2</v>
      </c>
      <c r="I554" s="587" t="s">
        <v>549</v>
      </c>
      <c r="J554" s="585">
        <v>1</v>
      </c>
      <c r="K554" s="585" t="s">
        <v>3327</v>
      </c>
      <c r="L554" s="678">
        <v>348</v>
      </c>
      <c r="M554" s="649" t="s">
        <v>2533</v>
      </c>
      <c r="N554" s="679">
        <v>67.071199999999919</v>
      </c>
      <c r="O554" s="679">
        <v>134.15400000000011</v>
      </c>
      <c r="P554" s="589" t="s">
        <v>2534</v>
      </c>
      <c r="Q554" s="680">
        <v>336.67839999999967</v>
      </c>
      <c r="R554" s="696"/>
      <c r="S554" s="553"/>
      <c r="T554" s="553"/>
      <c r="U554" s="553"/>
      <c r="V554" s="553"/>
      <c r="W554" s="553"/>
      <c r="X554" s="553"/>
      <c r="Y554" s="553"/>
      <c r="Z554" s="553"/>
      <c r="AA554" s="553"/>
      <c r="AB554" s="554"/>
      <c r="AC554" s="555"/>
      <c r="AD554" s="556"/>
      <c r="AE554" s="556"/>
      <c r="AF554" s="556"/>
      <c r="AG554" s="556"/>
    </row>
    <row r="555" spans="1:33">
      <c r="A555" s="585">
        <v>541</v>
      </c>
      <c r="B555" s="587" t="s">
        <v>2849</v>
      </c>
      <c r="C555" s="585">
        <v>541</v>
      </c>
      <c r="D555" s="629" t="s">
        <v>2306</v>
      </c>
      <c r="E555" s="586" t="s">
        <v>4444</v>
      </c>
      <c r="F555" s="675">
        <v>4.3301400000000004E-2</v>
      </c>
      <c r="G555" s="676">
        <v>2538.48</v>
      </c>
      <c r="H555" s="588">
        <v>487.2</v>
      </c>
      <c r="I555" s="587" t="s">
        <v>549</v>
      </c>
      <c r="J555" s="585">
        <v>1</v>
      </c>
      <c r="K555" s="585" t="s">
        <v>839</v>
      </c>
      <c r="L555" s="678">
        <v>348</v>
      </c>
      <c r="M555" s="649" t="s">
        <v>2533</v>
      </c>
      <c r="N555" s="679">
        <v>67.071199999999919</v>
      </c>
      <c r="O555" s="679">
        <v>134.15400000000011</v>
      </c>
      <c r="P555" s="589" t="s">
        <v>2534</v>
      </c>
      <c r="Q555" s="680">
        <v>336.67839999999967</v>
      </c>
      <c r="R555" s="696"/>
      <c r="S555" s="553"/>
      <c r="T555" s="553"/>
      <c r="U555" s="553"/>
      <c r="V555" s="553"/>
      <c r="W555" s="553"/>
      <c r="X555" s="553"/>
      <c r="Y555" s="553"/>
      <c r="Z555" s="553"/>
      <c r="AA555" s="553"/>
      <c r="AB555" s="554"/>
      <c r="AC555" s="555"/>
      <c r="AD555" s="556"/>
      <c r="AE555" s="556"/>
      <c r="AF555" s="556"/>
      <c r="AG555" s="556"/>
    </row>
    <row r="556" spans="1:33">
      <c r="A556" s="585">
        <v>542</v>
      </c>
      <c r="B556" s="587" t="s">
        <v>2850</v>
      </c>
      <c r="C556" s="585">
        <v>542</v>
      </c>
      <c r="D556" s="629" t="s">
        <v>2306</v>
      </c>
      <c r="E556" s="586" t="s">
        <v>4445</v>
      </c>
      <c r="F556" s="675">
        <v>3.64564E-2</v>
      </c>
      <c r="G556" s="676">
        <v>2538.48</v>
      </c>
      <c r="H556" s="588">
        <v>487.2</v>
      </c>
      <c r="I556" s="587" t="s">
        <v>549</v>
      </c>
      <c r="J556" s="585">
        <v>1</v>
      </c>
      <c r="K556" s="585" t="s">
        <v>840</v>
      </c>
      <c r="L556" s="678">
        <v>348</v>
      </c>
      <c r="M556" s="649" t="s">
        <v>2533</v>
      </c>
      <c r="N556" s="679">
        <v>67.071199999999919</v>
      </c>
      <c r="O556" s="679">
        <v>134.15400000000011</v>
      </c>
      <c r="P556" s="589" t="s">
        <v>2534</v>
      </c>
      <c r="Q556" s="680">
        <v>336.67839999999967</v>
      </c>
      <c r="R556" s="696"/>
      <c r="S556" s="553"/>
      <c r="T556" s="553"/>
      <c r="U556" s="553"/>
      <c r="V556" s="553"/>
      <c r="W556" s="553"/>
      <c r="X556" s="553"/>
      <c r="Y556" s="553"/>
      <c r="Z556" s="553"/>
      <c r="AA556" s="553"/>
      <c r="AB556" s="554"/>
      <c r="AC556" s="555"/>
      <c r="AD556" s="556"/>
      <c r="AE556" s="556"/>
      <c r="AF556" s="556"/>
      <c r="AG556" s="556"/>
    </row>
    <row r="557" spans="1:33">
      <c r="A557" s="585">
        <v>543</v>
      </c>
      <c r="B557" s="587" t="s">
        <v>2851</v>
      </c>
      <c r="C557" s="585">
        <v>543</v>
      </c>
      <c r="D557" s="629" t="s">
        <v>2306</v>
      </c>
      <c r="E557" s="586" t="s">
        <v>4447</v>
      </c>
      <c r="F557" s="675">
        <v>4.3292400000000002E-2</v>
      </c>
      <c r="G557" s="676">
        <v>2538.48</v>
      </c>
      <c r="H557" s="588">
        <v>487.2</v>
      </c>
      <c r="I557" s="587" t="s">
        <v>549</v>
      </c>
      <c r="J557" s="585">
        <v>1</v>
      </c>
      <c r="K557" s="585" t="s">
        <v>841</v>
      </c>
      <c r="L557" s="678">
        <v>348</v>
      </c>
      <c r="M557" s="649" t="s">
        <v>2533</v>
      </c>
      <c r="N557" s="679">
        <v>67.071199999999919</v>
      </c>
      <c r="O557" s="679">
        <v>134.15400000000011</v>
      </c>
      <c r="P557" s="589" t="s">
        <v>2534</v>
      </c>
      <c r="Q557" s="680">
        <v>336.67839999999967</v>
      </c>
      <c r="R557" s="696"/>
      <c r="S557" s="553"/>
      <c r="T557" s="553"/>
      <c r="U557" s="553"/>
      <c r="V557" s="553"/>
      <c r="W557" s="553"/>
      <c r="X557" s="553"/>
      <c r="Y557" s="553"/>
      <c r="Z557" s="553"/>
      <c r="AA557" s="553"/>
      <c r="AB557" s="554"/>
      <c r="AC557" s="555"/>
      <c r="AD557" s="556"/>
      <c r="AE557" s="556"/>
      <c r="AF557" s="556"/>
      <c r="AG557" s="556"/>
    </row>
    <row r="558" spans="1:33">
      <c r="A558" s="585">
        <v>544</v>
      </c>
      <c r="B558" s="587" t="s">
        <v>2852</v>
      </c>
      <c r="C558" s="585">
        <v>544</v>
      </c>
      <c r="D558" s="629" t="s">
        <v>2306</v>
      </c>
      <c r="E558" s="586" t="s">
        <v>4448</v>
      </c>
      <c r="F558" s="675">
        <v>4.2227399999999998E-2</v>
      </c>
      <c r="G558" s="676">
        <v>2538.48</v>
      </c>
      <c r="H558" s="588">
        <v>487.2</v>
      </c>
      <c r="I558" s="587" t="s">
        <v>549</v>
      </c>
      <c r="J558" s="585">
        <v>1</v>
      </c>
      <c r="K558" s="585" t="s">
        <v>2489</v>
      </c>
      <c r="L558" s="678">
        <v>348</v>
      </c>
      <c r="M558" s="649" t="s">
        <v>2533</v>
      </c>
      <c r="N558" s="679">
        <v>67.071199999999919</v>
      </c>
      <c r="O558" s="679">
        <v>134.15400000000011</v>
      </c>
      <c r="P558" s="589" t="s">
        <v>2534</v>
      </c>
      <c r="Q558" s="680">
        <v>336.67839999999967</v>
      </c>
      <c r="R558" s="696"/>
      <c r="S558" s="553"/>
      <c r="T558" s="553"/>
      <c r="U558" s="553"/>
      <c r="V558" s="553"/>
      <c r="W558" s="553"/>
      <c r="X558" s="553"/>
      <c r="Y558" s="553"/>
      <c r="Z558" s="553"/>
      <c r="AA558" s="553"/>
      <c r="AB558" s="554"/>
      <c r="AC558" s="555"/>
      <c r="AD558" s="556"/>
      <c r="AE558" s="556"/>
      <c r="AF558" s="556"/>
      <c r="AG558" s="556"/>
    </row>
    <row r="559" spans="1:33">
      <c r="A559" s="585">
        <v>545</v>
      </c>
      <c r="B559" s="587" t="s">
        <v>4409</v>
      </c>
      <c r="C559" s="585">
        <v>545</v>
      </c>
      <c r="D559" s="629" t="s">
        <v>2306</v>
      </c>
      <c r="E559" s="586" t="s">
        <v>4449</v>
      </c>
      <c r="F559" s="675">
        <v>3.8837099999999999E-2</v>
      </c>
      <c r="G559" s="676">
        <v>2538.48</v>
      </c>
      <c r="H559" s="588">
        <v>487.2</v>
      </c>
      <c r="I559" s="587" t="s">
        <v>549</v>
      </c>
      <c r="J559" s="585">
        <v>1</v>
      </c>
      <c r="K559" s="585" t="s">
        <v>4419</v>
      </c>
      <c r="L559" s="678">
        <v>348</v>
      </c>
      <c r="M559" s="649" t="s">
        <v>2533</v>
      </c>
      <c r="N559" s="679">
        <v>67.071199999999919</v>
      </c>
      <c r="O559" s="679">
        <v>134.15400000000011</v>
      </c>
      <c r="P559" s="589" t="s">
        <v>2534</v>
      </c>
      <c r="Q559" s="680">
        <v>336.67839999999967</v>
      </c>
      <c r="R559" s="696"/>
      <c r="S559" s="553"/>
      <c r="T559" s="553"/>
      <c r="U559" s="553"/>
      <c r="V559" s="553"/>
      <c r="W559" s="553"/>
      <c r="X559" s="553"/>
      <c r="Y559" s="553"/>
      <c r="Z559" s="553"/>
      <c r="AA559" s="553"/>
      <c r="AB559" s="554"/>
      <c r="AC559" s="555"/>
      <c r="AD559" s="556"/>
      <c r="AE559" s="556"/>
      <c r="AF559" s="556"/>
      <c r="AG559" s="556"/>
    </row>
    <row r="560" spans="1:33">
      <c r="A560" s="585">
        <v>546</v>
      </c>
      <c r="B560" s="587" t="s">
        <v>2853</v>
      </c>
      <c r="C560" s="585">
        <v>546</v>
      </c>
      <c r="D560" s="629" t="s">
        <v>2306</v>
      </c>
      <c r="E560" s="586" t="s">
        <v>4450</v>
      </c>
      <c r="F560" s="675">
        <v>5.2508800000000001E-2</v>
      </c>
      <c r="G560" s="676">
        <v>2538.48</v>
      </c>
      <c r="H560" s="588">
        <v>487.2</v>
      </c>
      <c r="I560" s="587" t="s">
        <v>549</v>
      </c>
      <c r="J560" s="585">
        <v>1</v>
      </c>
      <c r="K560" s="585" t="s">
        <v>842</v>
      </c>
      <c r="L560" s="678">
        <v>348</v>
      </c>
      <c r="M560" s="649" t="s">
        <v>2533</v>
      </c>
      <c r="N560" s="679">
        <v>67.071199999999919</v>
      </c>
      <c r="O560" s="679">
        <v>134.15400000000011</v>
      </c>
      <c r="P560" s="589" t="s">
        <v>2534</v>
      </c>
      <c r="Q560" s="680">
        <v>336.67839999999967</v>
      </c>
      <c r="R560" s="696"/>
      <c r="S560" s="553"/>
      <c r="T560" s="553"/>
      <c r="U560" s="553"/>
      <c r="V560" s="553"/>
      <c r="W560" s="553"/>
      <c r="X560" s="553"/>
      <c r="Y560" s="553"/>
      <c r="Z560" s="553"/>
      <c r="AA560" s="553"/>
      <c r="AB560" s="554"/>
      <c r="AC560" s="555"/>
      <c r="AD560" s="556"/>
      <c r="AE560" s="556"/>
      <c r="AF560" s="556"/>
      <c r="AG560" s="556"/>
    </row>
    <row r="561" spans="1:33">
      <c r="A561" s="585">
        <v>547</v>
      </c>
      <c r="B561" s="587" t="s">
        <v>2854</v>
      </c>
      <c r="C561" s="585">
        <v>547</v>
      </c>
      <c r="D561" s="629" t="s">
        <v>2306</v>
      </c>
      <c r="E561" s="586" t="s">
        <v>336</v>
      </c>
      <c r="F561" s="675">
        <v>4.8639700000000001E-2</v>
      </c>
      <c r="G561" s="676">
        <v>3463.0023344000001</v>
      </c>
      <c r="H561" s="588">
        <v>487.2</v>
      </c>
      <c r="I561" s="587" t="s">
        <v>601</v>
      </c>
      <c r="J561" s="585">
        <v>2</v>
      </c>
      <c r="K561" s="585" t="s">
        <v>843</v>
      </c>
      <c r="L561" s="678">
        <v>348</v>
      </c>
      <c r="M561" s="649" t="s">
        <v>2533</v>
      </c>
      <c r="N561" s="679">
        <v>121.62599999999989</v>
      </c>
      <c r="O561" s="679">
        <v>243.24040000000008</v>
      </c>
      <c r="P561" s="589" t="s">
        <v>2534</v>
      </c>
      <c r="Q561" s="680">
        <v>336.67839999999967</v>
      </c>
      <c r="R561" s="696"/>
      <c r="S561" s="553"/>
      <c r="T561" s="553"/>
      <c r="U561" s="553"/>
      <c r="V561" s="553"/>
      <c r="W561" s="553"/>
      <c r="X561" s="553"/>
      <c r="Y561" s="553"/>
      <c r="Z561" s="553"/>
      <c r="AA561" s="553"/>
      <c r="AB561" s="554"/>
      <c r="AC561" s="555"/>
      <c r="AD561" s="556"/>
      <c r="AE561" s="556"/>
      <c r="AF561" s="556"/>
      <c r="AG561" s="556"/>
    </row>
    <row r="562" spans="1:33">
      <c r="A562" s="585">
        <v>548</v>
      </c>
      <c r="B562" s="587" t="s">
        <v>2855</v>
      </c>
      <c r="C562" s="585">
        <v>548</v>
      </c>
      <c r="D562" s="629" t="s">
        <v>2306</v>
      </c>
      <c r="E562" s="586" t="s">
        <v>337</v>
      </c>
      <c r="F562" s="675">
        <v>5.2398100000000003E-2</v>
      </c>
      <c r="G562" s="676">
        <v>2538.48</v>
      </c>
      <c r="H562" s="588">
        <v>487.2</v>
      </c>
      <c r="I562" s="587" t="s">
        <v>549</v>
      </c>
      <c r="J562" s="585">
        <v>1</v>
      </c>
      <c r="K562" s="585" t="s">
        <v>844</v>
      </c>
      <c r="L562" s="678">
        <v>348</v>
      </c>
      <c r="M562" s="649" t="s">
        <v>2533</v>
      </c>
      <c r="N562" s="679">
        <v>67.071199999999919</v>
      </c>
      <c r="O562" s="679">
        <v>134.15400000000011</v>
      </c>
      <c r="P562" s="589" t="s">
        <v>2534</v>
      </c>
      <c r="Q562" s="680">
        <v>336.67839999999967</v>
      </c>
      <c r="R562" s="696"/>
      <c r="S562" s="553"/>
      <c r="T562" s="553"/>
      <c r="U562" s="553"/>
      <c r="V562" s="553"/>
      <c r="W562" s="553"/>
      <c r="X562" s="553"/>
      <c r="Y562" s="553"/>
      <c r="Z562" s="553"/>
      <c r="AA562" s="553"/>
      <c r="AB562" s="554"/>
      <c r="AC562" s="555"/>
      <c r="AD562" s="556"/>
      <c r="AE562" s="556"/>
      <c r="AF562" s="556"/>
      <c r="AG562" s="556"/>
    </row>
    <row r="563" spans="1:33">
      <c r="A563" s="585">
        <v>549</v>
      </c>
      <c r="B563" s="587" t="s">
        <v>2856</v>
      </c>
      <c r="C563" s="585">
        <v>549</v>
      </c>
      <c r="D563" s="629" t="s">
        <v>2306</v>
      </c>
      <c r="E563" s="586" t="s">
        <v>338</v>
      </c>
      <c r="F563" s="675">
        <v>5.2398100000000003E-2</v>
      </c>
      <c r="G563" s="676">
        <v>2538.48</v>
      </c>
      <c r="H563" s="588">
        <v>487.2</v>
      </c>
      <c r="I563" s="587" t="s">
        <v>549</v>
      </c>
      <c r="J563" s="585">
        <v>1</v>
      </c>
      <c r="K563" s="585" t="s">
        <v>845</v>
      </c>
      <c r="L563" s="678">
        <v>348</v>
      </c>
      <c r="M563" s="649" t="s">
        <v>2533</v>
      </c>
      <c r="N563" s="679">
        <v>67.071199999999919</v>
      </c>
      <c r="O563" s="679">
        <v>134.15400000000011</v>
      </c>
      <c r="P563" s="589" t="s">
        <v>2534</v>
      </c>
      <c r="Q563" s="680">
        <v>336.67839999999967</v>
      </c>
      <c r="R563" s="696"/>
      <c r="S563" s="553"/>
      <c r="T563" s="553"/>
      <c r="U563" s="553"/>
      <c r="V563" s="553"/>
      <c r="W563" s="553"/>
      <c r="X563" s="553"/>
      <c r="Y563" s="553"/>
      <c r="Z563" s="553"/>
      <c r="AA563" s="553"/>
      <c r="AB563" s="554"/>
      <c r="AC563" s="555"/>
      <c r="AD563" s="556"/>
      <c r="AE563" s="556"/>
      <c r="AF563" s="556"/>
      <c r="AG563" s="556"/>
    </row>
    <row r="564" spans="1:33">
      <c r="A564" s="585">
        <v>550</v>
      </c>
      <c r="B564" s="587" t="s">
        <v>2857</v>
      </c>
      <c r="C564" s="585">
        <v>550</v>
      </c>
      <c r="D564" s="629" t="s">
        <v>2306</v>
      </c>
      <c r="E564" s="586" t="s">
        <v>339</v>
      </c>
      <c r="F564" s="675">
        <v>4.8639700000000001E-2</v>
      </c>
      <c r="G564" s="676">
        <v>3463.0023344000001</v>
      </c>
      <c r="H564" s="588">
        <v>487.2</v>
      </c>
      <c r="I564" s="587" t="s">
        <v>601</v>
      </c>
      <c r="J564" s="585">
        <v>2</v>
      </c>
      <c r="K564" s="585" t="s">
        <v>846</v>
      </c>
      <c r="L564" s="678">
        <v>348</v>
      </c>
      <c r="M564" s="649" t="s">
        <v>2533</v>
      </c>
      <c r="N564" s="679">
        <v>121.62599999999989</v>
      </c>
      <c r="O564" s="679">
        <v>243.24040000000008</v>
      </c>
      <c r="P564" s="589" t="s">
        <v>2534</v>
      </c>
      <c r="Q564" s="680">
        <v>336.67839999999967</v>
      </c>
      <c r="R564" s="696"/>
      <c r="S564" s="553"/>
      <c r="T564" s="553"/>
      <c r="U564" s="553"/>
      <c r="V564" s="553"/>
      <c r="W564" s="553"/>
      <c r="X564" s="553"/>
      <c r="Y564" s="553"/>
      <c r="Z564" s="553"/>
      <c r="AA564" s="553"/>
      <c r="AB564" s="554"/>
      <c r="AC564" s="555"/>
      <c r="AD564" s="556"/>
      <c r="AE564" s="556"/>
      <c r="AF564" s="556"/>
      <c r="AG564" s="556"/>
    </row>
    <row r="565" spans="1:33">
      <c r="A565" s="585">
        <v>551</v>
      </c>
      <c r="B565" s="587" t="s">
        <v>2858</v>
      </c>
      <c r="C565" s="585">
        <v>551</v>
      </c>
      <c r="D565" s="629" t="s">
        <v>2306</v>
      </c>
      <c r="E565" s="586" t="s">
        <v>340</v>
      </c>
      <c r="F565" s="675">
        <v>5.2398100000000003E-2</v>
      </c>
      <c r="G565" s="676">
        <v>2538.48</v>
      </c>
      <c r="H565" s="588">
        <v>487.2</v>
      </c>
      <c r="I565" s="587" t="s">
        <v>549</v>
      </c>
      <c r="J565" s="585">
        <v>1</v>
      </c>
      <c r="K565" s="585" t="s">
        <v>847</v>
      </c>
      <c r="L565" s="678">
        <v>348</v>
      </c>
      <c r="M565" s="649" t="s">
        <v>2533</v>
      </c>
      <c r="N565" s="679">
        <v>67.071199999999919</v>
      </c>
      <c r="O565" s="679">
        <v>134.15400000000011</v>
      </c>
      <c r="P565" s="589" t="s">
        <v>2534</v>
      </c>
      <c r="Q565" s="680">
        <v>336.67839999999967</v>
      </c>
      <c r="R565" s="696"/>
      <c r="S565" s="553"/>
      <c r="T565" s="553"/>
      <c r="U565" s="553"/>
      <c r="V565" s="553"/>
      <c r="W565" s="553"/>
      <c r="X565" s="553"/>
      <c r="Y565" s="553"/>
      <c r="Z565" s="553"/>
      <c r="AA565" s="553"/>
      <c r="AB565" s="554"/>
      <c r="AC565" s="555"/>
      <c r="AD565" s="556"/>
      <c r="AE565" s="556"/>
      <c r="AF565" s="556"/>
      <c r="AG565" s="556"/>
    </row>
    <row r="566" spans="1:33">
      <c r="A566" s="585">
        <v>552</v>
      </c>
      <c r="B566" s="587" t="s">
        <v>2859</v>
      </c>
      <c r="C566" s="585">
        <v>552</v>
      </c>
      <c r="D566" s="629" t="s">
        <v>2306</v>
      </c>
      <c r="E566" s="586" t="s">
        <v>341</v>
      </c>
      <c r="F566" s="675">
        <v>4.8639700000000001E-2</v>
      </c>
      <c r="G566" s="676">
        <v>3463.0023344000001</v>
      </c>
      <c r="H566" s="588">
        <v>487.2</v>
      </c>
      <c r="I566" s="587" t="s">
        <v>601</v>
      </c>
      <c r="J566" s="585">
        <v>2</v>
      </c>
      <c r="K566" s="585" t="s">
        <v>848</v>
      </c>
      <c r="L566" s="678">
        <v>348</v>
      </c>
      <c r="M566" s="649" t="s">
        <v>2533</v>
      </c>
      <c r="N566" s="679">
        <v>121.62599999999989</v>
      </c>
      <c r="O566" s="679">
        <v>243.24040000000008</v>
      </c>
      <c r="P566" s="589" t="s">
        <v>2534</v>
      </c>
      <c r="Q566" s="680">
        <v>336.67839999999967</v>
      </c>
      <c r="R566" s="696"/>
      <c r="S566" s="553"/>
      <c r="T566" s="553"/>
      <c r="U566" s="553"/>
      <c r="V566" s="553"/>
      <c r="W566" s="553"/>
      <c r="X566" s="553"/>
      <c r="Y566" s="553"/>
      <c r="Z566" s="553"/>
      <c r="AA566" s="553"/>
      <c r="AB566" s="554"/>
      <c r="AC566" s="555"/>
      <c r="AD566" s="556"/>
      <c r="AE566" s="556"/>
      <c r="AF566" s="556"/>
      <c r="AG566" s="556"/>
    </row>
    <row r="567" spans="1:33">
      <c r="A567" s="585">
        <v>553</v>
      </c>
      <c r="B567" s="587" t="s">
        <v>10428</v>
      </c>
      <c r="C567" s="585">
        <v>553</v>
      </c>
      <c r="D567" s="629" t="s">
        <v>2306</v>
      </c>
      <c r="E567" s="586" t="s">
        <v>10464</v>
      </c>
      <c r="F567" s="675">
        <v>4.8640000000000003E-2</v>
      </c>
      <c r="G567" s="676">
        <v>3463</v>
      </c>
      <c r="H567" s="588">
        <v>487.2</v>
      </c>
      <c r="I567" s="587" t="s">
        <v>601</v>
      </c>
      <c r="J567" s="585">
        <v>2</v>
      </c>
      <c r="K567" s="585" t="s">
        <v>10492</v>
      </c>
      <c r="L567" s="678">
        <v>348</v>
      </c>
      <c r="M567" s="649" t="s">
        <v>2533</v>
      </c>
      <c r="N567" s="679">
        <v>121.62599999999989</v>
      </c>
      <c r="O567" s="679">
        <v>243.24040000000008</v>
      </c>
      <c r="P567" s="589" t="s">
        <v>2534</v>
      </c>
      <c r="Q567" s="680">
        <v>336.67839999999967</v>
      </c>
      <c r="R567" s="696"/>
      <c r="S567" s="553"/>
      <c r="T567" s="553"/>
      <c r="U567" s="553"/>
      <c r="V567" s="553"/>
      <c r="W567" s="553"/>
      <c r="X567" s="553"/>
      <c r="Y567" s="553"/>
      <c r="Z567" s="553"/>
      <c r="AA567" s="553"/>
      <c r="AB567" s="554"/>
      <c r="AC567" s="555"/>
      <c r="AD567" s="556"/>
      <c r="AE567" s="556"/>
      <c r="AF567" s="556"/>
      <c r="AG567" s="556"/>
    </row>
    <row r="568" spans="1:33">
      <c r="A568" s="585">
        <v>554</v>
      </c>
      <c r="B568" s="587" t="s">
        <v>4362</v>
      </c>
      <c r="C568" s="585">
        <v>554</v>
      </c>
      <c r="D568" s="629" t="s">
        <v>2306</v>
      </c>
      <c r="E568" s="586" t="s">
        <v>4363</v>
      </c>
      <c r="F568" s="675">
        <v>4.1871799999999994E-2</v>
      </c>
      <c r="G568" s="676">
        <v>2538.48</v>
      </c>
      <c r="H568" s="588">
        <v>487.2</v>
      </c>
      <c r="I568" s="587" t="s">
        <v>549</v>
      </c>
      <c r="J568" s="585">
        <v>1</v>
      </c>
      <c r="K568" s="585" t="s">
        <v>4364</v>
      </c>
      <c r="L568" s="678">
        <v>348</v>
      </c>
      <c r="M568" s="649" t="s">
        <v>2533</v>
      </c>
      <c r="N568" s="679">
        <v>67.071199999999919</v>
      </c>
      <c r="O568" s="679">
        <v>134.15400000000011</v>
      </c>
      <c r="P568" s="589" t="s">
        <v>2534</v>
      </c>
      <c r="Q568" s="680">
        <v>336.67839999999967</v>
      </c>
      <c r="R568" s="696"/>
      <c r="S568" s="553"/>
      <c r="T568" s="553"/>
      <c r="U568" s="553"/>
      <c r="V568" s="553"/>
      <c r="W568" s="553"/>
      <c r="X568" s="553"/>
      <c r="Y568" s="553"/>
      <c r="Z568" s="553"/>
      <c r="AA568" s="553"/>
      <c r="AB568" s="554"/>
      <c r="AC568" s="555"/>
      <c r="AD568" s="556"/>
      <c r="AE568" s="556"/>
      <c r="AF568" s="556"/>
      <c r="AG568" s="556"/>
    </row>
    <row r="569" spans="1:33">
      <c r="A569" s="585">
        <v>555</v>
      </c>
      <c r="B569" s="587" t="s">
        <v>2860</v>
      </c>
      <c r="C569" s="585">
        <v>555</v>
      </c>
      <c r="D569" s="629" t="s">
        <v>2306</v>
      </c>
      <c r="E569" s="586" t="s">
        <v>342</v>
      </c>
      <c r="F569" s="675">
        <v>4.3693000000000003E-2</v>
      </c>
      <c r="G569" s="676">
        <v>2538.48</v>
      </c>
      <c r="H569" s="588">
        <v>487.2</v>
      </c>
      <c r="I569" s="587" t="s">
        <v>549</v>
      </c>
      <c r="J569" s="585">
        <v>1</v>
      </c>
      <c r="K569" s="585" t="s">
        <v>849</v>
      </c>
      <c r="L569" s="678">
        <v>348</v>
      </c>
      <c r="M569" s="649" t="s">
        <v>2533</v>
      </c>
      <c r="N569" s="679">
        <v>67.071199999999919</v>
      </c>
      <c r="O569" s="679">
        <v>134.15400000000011</v>
      </c>
      <c r="P569" s="589" t="s">
        <v>2534</v>
      </c>
      <c r="Q569" s="680">
        <v>336.67839999999967</v>
      </c>
      <c r="R569" s="696"/>
      <c r="S569" s="553"/>
      <c r="T569" s="553"/>
      <c r="U569" s="553"/>
      <c r="V569" s="553"/>
      <c r="W569" s="553"/>
      <c r="X569" s="553"/>
      <c r="Y569" s="553"/>
      <c r="Z569" s="553"/>
      <c r="AA569" s="553"/>
      <c r="AB569" s="554"/>
      <c r="AC569" s="555"/>
      <c r="AD569" s="556"/>
      <c r="AE569" s="556"/>
      <c r="AF569" s="556"/>
      <c r="AG569" s="556"/>
    </row>
    <row r="570" spans="1:33">
      <c r="A570" s="585">
        <v>556</v>
      </c>
      <c r="B570" s="587" t="s">
        <v>2861</v>
      </c>
      <c r="C570" s="585">
        <v>556</v>
      </c>
      <c r="D570" s="629" t="s">
        <v>2307</v>
      </c>
      <c r="E570" s="586" t="s">
        <v>343</v>
      </c>
      <c r="F570" s="675">
        <v>4.8639700000000001E-2</v>
      </c>
      <c r="G570" s="676">
        <v>3463.0023344000001</v>
      </c>
      <c r="H570" s="588">
        <v>487.2</v>
      </c>
      <c r="I570" s="587" t="s">
        <v>601</v>
      </c>
      <c r="J570" s="585">
        <v>2</v>
      </c>
      <c r="K570" s="585" t="s">
        <v>850</v>
      </c>
      <c r="L570" s="678">
        <v>348</v>
      </c>
      <c r="M570" s="649" t="s">
        <v>2533</v>
      </c>
      <c r="N570" s="679">
        <v>121.62599999999989</v>
      </c>
      <c r="O570" s="679">
        <v>243.24040000000008</v>
      </c>
      <c r="P570" s="589" t="s">
        <v>2534</v>
      </c>
      <c r="Q570" s="680">
        <v>336.67839999999967</v>
      </c>
      <c r="R570" s="696"/>
      <c r="S570" s="553"/>
      <c r="T570" s="553"/>
      <c r="U570" s="553"/>
      <c r="V570" s="553"/>
      <c r="W570" s="553"/>
      <c r="X570" s="553"/>
      <c r="Y570" s="553"/>
      <c r="Z570" s="553"/>
      <c r="AA570" s="553"/>
      <c r="AB570" s="554"/>
      <c r="AC570" s="555"/>
      <c r="AD570" s="556"/>
      <c r="AE570" s="556"/>
      <c r="AF570" s="556"/>
      <c r="AG570" s="556"/>
    </row>
    <row r="571" spans="1:33">
      <c r="A571" s="585">
        <v>557</v>
      </c>
      <c r="B571" s="587" t="s">
        <v>2862</v>
      </c>
      <c r="C571" s="585">
        <v>557</v>
      </c>
      <c r="D571" s="629" t="s">
        <v>2307</v>
      </c>
      <c r="E571" s="586" t="s">
        <v>344</v>
      </c>
      <c r="F571" s="675">
        <v>5.1864600000000004E-2</v>
      </c>
      <c r="G571" s="676">
        <v>3463.0023344000001</v>
      </c>
      <c r="H571" s="588">
        <v>487.2</v>
      </c>
      <c r="I571" s="587" t="s">
        <v>601</v>
      </c>
      <c r="J571" s="585">
        <v>2</v>
      </c>
      <c r="K571" s="585" t="s">
        <v>851</v>
      </c>
      <c r="L571" s="678">
        <v>348</v>
      </c>
      <c r="M571" s="649" t="s">
        <v>2533</v>
      </c>
      <c r="N571" s="679">
        <v>121.62599999999989</v>
      </c>
      <c r="O571" s="679">
        <v>243.24040000000008</v>
      </c>
      <c r="P571" s="589" t="s">
        <v>2534</v>
      </c>
      <c r="Q571" s="680">
        <v>336.67839999999967</v>
      </c>
      <c r="R571" s="696"/>
      <c r="S571" s="553"/>
      <c r="T571" s="553"/>
      <c r="U571" s="553"/>
      <c r="V571" s="553"/>
      <c r="W571" s="553"/>
      <c r="X571" s="553"/>
      <c r="Y571" s="553"/>
      <c r="Z571" s="553"/>
      <c r="AA571" s="553"/>
      <c r="AB571" s="554"/>
      <c r="AC571" s="555"/>
      <c r="AD571" s="556"/>
      <c r="AE571" s="556"/>
      <c r="AF571" s="556"/>
      <c r="AG571" s="556"/>
    </row>
    <row r="572" spans="1:33">
      <c r="A572" s="585">
        <v>558</v>
      </c>
      <c r="B572" s="587" t="s">
        <v>2863</v>
      </c>
      <c r="C572" s="585">
        <v>558</v>
      </c>
      <c r="D572" s="629" t="s">
        <v>2307</v>
      </c>
      <c r="E572" s="586" t="s">
        <v>345</v>
      </c>
      <c r="F572" s="675">
        <v>4.8565799999999999E-2</v>
      </c>
      <c r="G572" s="676">
        <v>2538.48</v>
      </c>
      <c r="H572" s="588">
        <v>487.2</v>
      </c>
      <c r="I572" s="587" t="s">
        <v>549</v>
      </c>
      <c r="J572" s="585">
        <v>1</v>
      </c>
      <c r="K572" s="585" t="s">
        <v>852</v>
      </c>
      <c r="L572" s="678">
        <v>348</v>
      </c>
      <c r="M572" s="649" t="s">
        <v>2533</v>
      </c>
      <c r="N572" s="679">
        <v>67.071199999999919</v>
      </c>
      <c r="O572" s="679">
        <v>134.15400000000011</v>
      </c>
      <c r="P572" s="589" t="s">
        <v>2534</v>
      </c>
      <c r="Q572" s="680">
        <v>336.67839999999967</v>
      </c>
      <c r="R572" s="696"/>
      <c r="S572" s="553"/>
      <c r="T572" s="553"/>
      <c r="U572" s="553"/>
      <c r="V572" s="553"/>
      <c r="W572" s="553"/>
      <c r="X572" s="553"/>
      <c r="Y572" s="553"/>
      <c r="Z572" s="553"/>
      <c r="AA572" s="553"/>
      <c r="AB572" s="554"/>
      <c r="AC572" s="555"/>
      <c r="AD572" s="556"/>
      <c r="AE572" s="556"/>
      <c r="AF572" s="556"/>
      <c r="AG572" s="556"/>
    </row>
    <row r="573" spans="1:33">
      <c r="A573" s="585">
        <v>559</v>
      </c>
      <c r="B573" s="587" t="s">
        <v>2864</v>
      </c>
      <c r="C573" s="585">
        <v>559</v>
      </c>
      <c r="D573" s="629" t="s">
        <v>2307</v>
      </c>
      <c r="E573" s="586" t="s">
        <v>346</v>
      </c>
      <c r="F573" s="675">
        <v>4.8639700000000001E-2</v>
      </c>
      <c r="G573" s="676">
        <v>3463.0023344000001</v>
      </c>
      <c r="H573" s="588">
        <v>487.2</v>
      </c>
      <c r="I573" s="587" t="s">
        <v>601</v>
      </c>
      <c r="J573" s="585">
        <v>2</v>
      </c>
      <c r="K573" s="585" t="s">
        <v>853</v>
      </c>
      <c r="L573" s="678">
        <v>348</v>
      </c>
      <c r="M573" s="649" t="s">
        <v>2533</v>
      </c>
      <c r="N573" s="679">
        <v>121.62599999999989</v>
      </c>
      <c r="O573" s="679">
        <v>243.24040000000008</v>
      </c>
      <c r="P573" s="589" t="s">
        <v>2534</v>
      </c>
      <c r="Q573" s="680">
        <v>336.67839999999967</v>
      </c>
      <c r="R573" s="696"/>
      <c r="S573" s="553"/>
      <c r="T573" s="553"/>
      <c r="U573" s="553"/>
      <c r="V573" s="553"/>
      <c r="W573" s="553"/>
      <c r="X573" s="553"/>
      <c r="Y573" s="553"/>
      <c r="Z573" s="553"/>
      <c r="AA573" s="553"/>
      <c r="AB573" s="554"/>
      <c r="AC573" s="555"/>
      <c r="AD573" s="556"/>
      <c r="AE573" s="556"/>
      <c r="AF573" s="556"/>
      <c r="AG573" s="556"/>
    </row>
    <row r="574" spans="1:33">
      <c r="A574" s="585">
        <v>560</v>
      </c>
      <c r="B574" s="587" t="s">
        <v>2865</v>
      </c>
      <c r="C574" s="585">
        <v>560</v>
      </c>
      <c r="D574" s="629" t="s">
        <v>2307</v>
      </c>
      <c r="E574" s="586" t="s">
        <v>347</v>
      </c>
      <c r="F574" s="675">
        <v>5.1864600000000004E-2</v>
      </c>
      <c r="G574" s="676">
        <v>3463.0023344000001</v>
      </c>
      <c r="H574" s="588">
        <v>487.2</v>
      </c>
      <c r="I574" s="587" t="s">
        <v>601</v>
      </c>
      <c r="J574" s="585">
        <v>2</v>
      </c>
      <c r="K574" s="585" t="s">
        <v>854</v>
      </c>
      <c r="L574" s="678">
        <v>348</v>
      </c>
      <c r="M574" s="649" t="s">
        <v>2533</v>
      </c>
      <c r="N574" s="679">
        <v>121.62599999999989</v>
      </c>
      <c r="O574" s="679">
        <v>243.24040000000008</v>
      </c>
      <c r="P574" s="589" t="s">
        <v>2534</v>
      </c>
      <c r="Q574" s="680">
        <v>336.67839999999967</v>
      </c>
      <c r="R574" s="696"/>
      <c r="S574" s="553"/>
      <c r="T574" s="553"/>
      <c r="U574" s="553"/>
      <c r="V574" s="553"/>
      <c r="W574" s="553"/>
      <c r="X574" s="553"/>
      <c r="Y574" s="553"/>
      <c r="Z574" s="553"/>
      <c r="AA574" s="553"/>
      <c r="AB574" s="554"/>
      <c r="AC574" s="555"/>
      <c r="AD574" s="556"/>
      <c r="AE574" s="556"/>
      <c r="AF574" s="556"/>
      <c r="AG574" s="556"/>
    </row>
    <row r="575" spans="1:33">
      <c r="A575" s="585">
        <v>561</v>
      </c>
      <c r="B575" s="587" t="s">
        <v>2866</v>
      </c>
      <c r="C575" s="585">
        <v>561</v>
      </c>
      <c r="D575" s="629" t="s">
        <v>2308</v>
      </c>
      <c r="E575" s="586" t="s">
        <v>348</v>
      </c>
      <c r="F575" s="675">
        <v>3.62701E-2</v>
      </c>
      <c r="G575" s="676">
        <v>2538.48</v>
      </c>
      <c r="H575" s="588">
        <v>487.2</v>
      </c>
      <c r="I575" s="587" t="s">
        <v>549</v>
      </c>
      <c r="J575" s="585">
        <v>1</v>
      </c>
      <c r="K575" s="585" t="s">
        <v>856</v>
      </c>
      <c r="L575" s="678">
        <v>348</v>
      </c>
      <c r="M575" s="649" t="s">
        <v>2533</v>
      </c>
      <c r="N575" s="679">
        <v>67.071199999999919</v>
      </c>
      <c r="O575" s="679">
        <v>134.15400000000011</v>
      </c>
      <c r="P575" s="589" t="s">
        <v>2534</v>
      </c>
      <c r="Q575" s="680">
        <v>336.67839999999967</v>
      </c>
      <c r="R575" s="696"/>
      <c r="S575" s="553"/>
      <c r="T575" s="553"/>
      <c r="U575" s="553"/>
      <c r="V575" s="553"/>
      <c r="W575" s="553"/>
      <c r="X575" s="553"/>
      <c r="Y575" s="553"/>
      <c r="Z575" s="553"/>
      <c r="AA575" s="553"/>
      <c r="AB575" s="554"/>
      <c r="AC575" s="555"/>
      <c r="AD575" s="556"/>
      <c r="AE575" s="556"/>
      <c r="AF575" s="556"/>
      <c r="AG575" s="556"/>
    </row>
    <row r="576" spans="1:33">
      <c r="A576" s="585">
        <v>562</v>
      </c>
      <c r="B576" s="587" t="s">
        <v>3605</v>
      </c>
      <c r="C576" s="585">
        <v>562</v>
      </c>
      <c r="D576" s="629" t="s">
        <v>2308</v>
      </c>
      <c r="E576" s="586" t="s">
        <v>3779</v>
      </c>
      <c r="F576" s="675">
        <v>3.62701E-2</v>
      </c>
      <c r="G576" s="676">
        <v>2538.48</v>
      </c>
      <c r="H576" s="588">
        <v>487.2</v>
      </c>
      <c r="I576" s="587" t="s">
        <v>549</v>
      </c>
      <c r="J576" s="585">
        <v>1</v>
      </c>
      <c r="K576" s="585" t="s">
        <v>3693</v>
      </c>
      <c r="L576" s="678">
        <v>348</v>
      </c>
      <c r="M576" s="649" t="s">
        <v>2533</v>
      </c>
      <c r="N576" s="679">
        <v>67.071199999999919</v>
      </c>
      <c r="O576" s="679">
        <v>134.15400000000011</v>
      </c>
      <c r="P576" s="589" t="s">
        <v>2534</v>
      </c>
      <c r="Q576" s="680">
        <v>336.67839999999967</v>
      </c>
      <c r="R576" s="696"/>
      <c r="S576" s="553"/>
      <c r="T576" s="553"/>
      <c r="U576" s="553"/>
      <c r="V576" s="553"/>
      <c r="W576" s="553"/>
      <c r="X576" s="553"/>
      <c r="Y576" s="553"/>
      <c r="Z576" s="553"/>
      <c r="AA576" s="553"/>
      <c r="AB576" s="554"/>
      <c r="AC576" s="555"/>
      <c r="AD576" s="556"/>
      <c r="AE576" s="556"/>
      <c r="AF576" s="556"/>
      <c r="AG576" s="556"/>
    </row>
    <row r="577" spans="1:33">
      <c r="A577" s="585">
        <v>563</v>
      </c>
      <c r="B577" s="587" t="s">
        <v>2867</v>
      </c>
      <c r="C577" s="585">
        <v>563</v>
      </c>
      <c r="D577" s="629" t="s">
        <v>2308</v>
      </c>
      <c r="E577" s="586" t="s">
        <v>349</v>
      </c>
      <c r="F577" s="675">
        <v>3.62701E-2</v>
      </c>
      <c r="G577" s="676">
        <v>2538.48</v>
      </c>
      <c r="H577" s="588">
        <v>487.2</v>
      </c>
      <c r="I577" s="587" t="s">
        <v>549</v>
      </c>
      <c r="J577" s="585">
        <v>1</v>
      </c>
      <c r="K577" s="585" t="s">
        <v>857</v>
      </c>
      <c r="L577" s="678">
        <v>348</v>
      </c>
      <c r="M577" s="649" t="s">
        <v>2533</v>
      </c>
      <c r="N577" s="679">
        <v>67.071199999999919</v>
      </c>
      <c r="O577" s="679">
        <v>134.15400000000011</v>
      </c>
      <c r="P577" s="589" t="s">
        <v>2534</v>
      </c>
      <c r="Q577" s="680">
        <v>336.67839999999967</v>
      </c>
      <c r="R577" s="696"/>
      <c r="S577" s="553"/>
      <c r="T577" s="553"/>
      <c r="U577" s="553"/>
      <c r="V577" s="553"/>
      <c r="W577" s="553"/>
      <c r="X577" s="553"/>
      <c r="Y577" s="553"/>
      <c r="Z577" s="553"/>
      <c r="AA577" s="553"/>
      <c r="AB577" s="554"/>
      <c r="AC577" s="555"/>
      <c r="AD577" s="556"/>
      <c r="AE577" s="556"/>
      <c r="AF577" s="556"/>
      <c r="AG577" s="556"/>
    </row>
    <row r="578" spans="1:33">
      <c r="A578" s="585">
        <v>564</v>
      </c>
      <c r="B578" s="587" t="s">
        <v>3408</v>
      </c>
      <c r="C578" s="585">
        <v>564</v>
      </c>
      <c r="D578" s="629" t="s">
        <v>2308</v>
      </c>
      <c r="E578" s="586" t="s">
        <v>2308</v>
      </c>
      <c r="F578" s="675">
        <v>3.62701E-2</v>
      </c>
      <c r="G578" s="676">
        <v>2538.48</v>
      </c>
      <c r="H578" s="588">
        <v>487.2</v>
      </c>
      <c r="I578" s="587" t="s">
        <v>549</v>
      </c>
      <c r="J578" s="585">
        <v>1</v>
      </c>
      <c r="K578" s="585" t="s">
        <v>855</v>
      </c>
      <c r="L578" s="678">
        <v>348</v>
      </c>
      <c r="M578" s="649" t="s">
        <v>2533</v>
      </c>
      <c r="N578" s="679">
        <v>67.071199999999919</v>
      </c>
      <c r="O578" s="679">
        <v>134.15400000000011</v>
      </c>
      <c r="P578" s="589" t="s">
        <v>2534</v>
      </c>
      <c r="Q578" s="680">
        <v>336.67839999999967</v>
      </c>
      <c r="R578" s="696"/>
      <c r="S578" s="553"/>
      <c r="T578" s="553"/>
      <c r="U578" s="553"/>
      <c r="V578" s="553"/>
      <c r="W578" s="553"/>
      <c r="X578" s="553"/>
      <c r="Y578" s="553"/>
      <c r="Z578" s="553"/>
      <c r="AA578" s="553"/>
      <c r="AB578" s="554"/>
      <c r="AC578" s="555"/>
      <c r="AD578" s="556"/>
      <c r="AE578" s="556"/>
      <c r="AF578" s="556"/>
      <c r="AG578" s="556"/>
    </row>
    <row r="579" spans="1:33">
      <c r="A579" s="585">
        <v>565</v>
      </c>
      <c r="B579" s="587" t="s">
        <v>2868</v>
      </c>
      <c r="C579" s="585">
        <v>565</v>
      </c>
      <c r="D579" s="629" t="s">
        <v>2309</v>
      </c>
      <c r="E579" s="586" t="s">
        <v>350</v>
      </c>
      <c r="F579" s="675">
        <v>4.2815000000000006E-2</v>
      </c>
      <c r="G579" s="676">
        <v>2538.48</v>
      </c>
      <c r="H579" s="588">
        <v>487.2</v>
      </c>
      <c r="I579" s="587" t="s">
        <v>549</v>
      </c>
      <c r="J579" s="585">
        <v>1</v>
      </c>
      <c r="K579" s="585" t="s">
        <v>858</v>
      </c>
      <c r="L579" s="678">
        <v>348</v>
      </c>
      <c r="M579" s="649" t="s">
        <v>2533</v>
      </c>
      <c r="N579" s="679">
        <v>67.071199999999919</v>
      </c>
      <c r="O579" s="679">
        <v>134.15400000000011</v>
      </c>
      <c r="P579" s="589" t="s">
        <v>2534</v>
      </c>
      <c r="Q579" s="680">
        <v>336.67839999999967</v>
      </c>
      <c r="R579" s="696"/>
      <c r="S579" s="553"/>
      <c r="T579" s="553"/>
      <c r="U579" s="553"/>
      <c r="V579" s="553"/>
      <c r="W579" s="553"/>
      <c r="X579" s="553"/>
      <c r="Y579" s="553"/>
      <c r="Z579" s="553"/>
      <c r="AA579" s="553"/>
      <c r="AB579" s="554"/>
      <c r="AC579" s="555"/>
      <c r="AD579" s="556"/>
      <c r="AE579" s="556"/>
      <c r="AF579" s="556"/>
      <c r="AG579" s="556"/>
    </row>
    <row r="580" spans="1:33">
      <c r="A580" s="585">
        <v>566</v>
      </c>
      <c r="B580" s="587" t="s">
        <v>2869</v>
      </c>
      <c r="C580" s="585">
        <v>566</v>
      </c>
      <c r="D580" s="629" t="s">
        <v>2309</v>
      </c>
      <c r="E580" s="586" t="s">
        <v>2490</v>
      </c>
      <c r="F580" s="675">
        <v>3.89457E-2</v>
      </c>
      <c r="G580" s="676">
        <v>2538.48</v>
      </c>
      <c r="H580" s="588">
        <v>487.2</v>
      </c>
      <c r="I580" s="587" t="s">
        <v>549</v>
      </c>
      <c r="J580" s="585">
        <v>1</v>
      </c>
      <c r="K580" s="585" t="s">
        <v>2491</v>
      </c>
      <c r="L580" s="678">
        <v>348</v>
      </c>
      <c r="M580" s="649" t="s">
        <v>2533</v>
      </c>
      <c r="N580" s="679">
        <v>67.071199999999919</v>
      </c>
      <c r="O580" s="679">
        <v>134.15400000000011</v>
      </c>
      <c r="P580" s="589" t="s">
        <v>2534</v>
      </c>
      <c r="Q580" s="680">
        <v>336.67839999999967</v>
      </c>
      <c r="R580" s="696"/>
      <c r="S580" s="553"/>
      <c r="T580" s="553"/>
      <c r="U580" s="553"/>
      <c r="V580" s="553"/>
      <c r="W580" s="553"/>
      <c r="X580" s="553"/>
      <c r="Y580" s="553"/>
      <c r="Z580" s="553"/>
      <c r="AA580" s="553"/>
      <c r="AB580" s="554"/>
      <c r="AC580" s="555"/>
      <c r="AD580" s="556"/>
      <c r="AE580" s="556"/>
      <c r="AF580" s="556"/>
      <c r="AG580" s="556"/>
    </row>
    <row r="581" spans="1:33">
      <c r="A581" s="585">
        <v>567</v>
      </c>
      <c r="B581" s="587" t="s">
        <v>2870</v>
      </c>
      <c r="C581" s="585">
        <v>567</v>
      </c>
      <c r="D581" s="629" t="s">
        <v>2309</v>
      </c>
      <c r="E581" s="586" t="s">
        <v>351</v>
      </c>
      <c r="F581" s="675">
        <v>2.9693600000000001E-2</v>
      </c>
      <c r="G581" s="676">
        <v>2538.48</v>
      </c>
      <c r="H581" s="588">
        <v>487.2</v>
      </c>
      <c r="I581" s="587" t="s">
        <v>549</v>
      </c>
      <c r="J581" s="585">
        <v>1</v>
      </c>
      <c r="K581" s="585" t="s">
        <v>859</v>
      </c>
      <c r="L581" s="678">
        <v>348</v>
      </c>
      <c r="M581" s="649" t="s">
        <v>2533</v>
      </c>
      <c r="N581" s="679">
        <v>67.071199999999919</v>
      </c>
      <c r="O581" s="679">
        <v>134.15400000000011</v>
      </c>
      <c r="P581" s="589" t="s">
        <v>2534</v>
      </c>
      <c r="Q581" s="680">
        <v>336.67839999999967</v>
      </c>
      <c r="R581" s="696"/>
      <c r="S581" s="553"/>
      <c r="T581" s="553"/>
      <c r="U581" s="553"/>
      <c r="V581" s="553"/>
      <c r="W581" s="553"/>
      <c r="X581" s="553"/>
      <c r="Y581" s="553"/>
      <c r="Z581" s="553"/>
      <c r="AA581" s="553"/>
      <c r="AB581" s="554"/>
      <c r="AC581" s="555"/>
      <c r="AD581" s="556"/>
      <c r="AE581" s="556"/>
      <c r="AF581" s="556"/>
      <c r="AG581" s="556"/>
    </row>
    <row r="582" spans="1:33">
      <c r="A582" s="585">
        <v>568</v>
      </c>
      <c r="B582" s="587" t="s">
        <v>2871</v>
      </c>
      <c r="C582" s="585">
        <v>568</v>
      </c>
      <c r="D582" s="629" t="s">
        <v>2309</v>
      </c>
      <c r="E582" s="586" t="s">
        <v>352</v>
      </c>
      <c r="F582" s="675">
        <v>4.8639700000000001E-2</v>
      </c>
      <c r="G582" s="676">
        <v>3463.0023344000001</v>
      </c>
      <c r="H582" s="588">
        <v>487.2</v>
      </c>
      <c r="I582" s="587" t="s">
        <v>601</v>
      </c>
      <c r="J582" s="585">
        <v>2</v>
      </c>
      <c r="K582" s="585" t="s">
        <v>860</v>
      </c>
      <c r="L582" s="678">
        <v>348</v>
      </c>
      <c r="M582" s="649" t="s">
        <v>2533</v>
      </c>
      <c r="N582" s="679">
        <v>121.62599999999989</v>
      </c>
      <c r="O582" s="679">
        <v>243.24040000000008</v>
      </c>
      <c r="P582" s="589" t="s">
        <v>2534</v>
      </c>
      <c r="Q582" s="680">
        <v>336.67839999999967</v>
      </c>
      <c r="R582" s="696"/>
      <c r="S582" s="553"/>
      <c r="T582" s="553"/>
      <c r="U582" s="553"/>
      <c r="V582" s="553"/>
      <c r="W582" s="553"/>
      <c r="X582" s="553"/>
      <c r="Y582" s="553"/>
      <c r="Z582" s="553"/>
      <c r="AA582" s="553"/>
      <c r="AB582" s="554"/>
      <c r="AC582" s="555"/>
      <c r="AD582" s="556"/>
      <c r="AE582" s="556"/>
      <c r="AF582" s="556"/>
      <c r="AG582" s="556"/>
    </row>
    <row r="583" spans="1:33">
      <c r="A583" s="585">
        <v>569</v>
      </c>
      <c r="B583" s="587" t="s">
        <v>2872</v>
      </c>
      <c r="C583" s="585">
        <v>569</v>
      </c>
      <c r="D583" s="629" t="s">
        <v>2309</v>
      </c>
      <c r="E583" s="586" t="s">
        <v>353</v>
      </c>
      <c r="F583" s="675">
        <v>3.9627599999999999E-2</v>
      </c>
      <c r="G583" s="676">
        <v>2538.48</v>
      </c>
      <c r="H583" s="588">
        <v>487.2</v>
      </c>
      <c r="I583" s="587" t="s">
        <v>549</v>
      </c>
      <c r="J583" s="585">
        <v>1</v>
      </c>
      <c r="K583" s="585" t="s">
        <v>861</v>
      </c>
      <c r="L583" s="678">
        <v>348</v>
      </c>
      <c r="M583" s="649" t="s">
        <v>2533</v>
      </c>
      <c r="N583" s="679">
        <v>67.071199999999919</v>
      </c>
      <c r="O583" s="679">
        <v>134.15400000000011</v>
      </c>
      <c r="P583" s="589" t="s">
        <v>2534</v>
      </c>
      <c r="Q583" s="680">
        <v>336.67839999999967</v>
      </c>
      <c r="R583" s="696"/>
      <c r="S583" s="553"/>
      <c r="T583" s="553"/>
      <c r="U583" s="553"/>
      <c r="V583" s="553"/>
      <c r="W583" s="553"/>
      <c r="X583" s="553"/>
      <c r="Y583" s="553"/>
      <c r="Z583" s="553"/>
      <c r="AA583" s="553"/>
      <c r="AB583" s="554"/>
      <c r="AC583" s="555"/>
      <c r="AD583" s="556"/>
      <c r="AE583" s="556"/>
      <c r="AF583" s="556"/>
      <c r="AG583" s="556"/>
    </row>
    <row r="584" spans="1:33">
      <c r="A584" s="585">
        <v>570</v>
      </c>
      <c r="B584" s="587" t="s">
        <v>2873</v>
      </c>
      <c r="C584" s="585">
        <v>570</v>
      </c>
      <c r="D584" s="629" t="s">
        <v>2309</v>
      </c>
      <c r="E584" s="586" t="s">
        <v>354</v>
      </c>
      <c r="F584" s="675">
        <v>3.9243699999999999E-2</v>
      </c>
      <c r="G584" s="676">
        <v>2538.48</v>
      </c>
      <c r="H584" s="588">
        <v>487.2</v>
      </c>
      <c r="I584" s="587" t="s">
        <v>549</v>
      </c>
      <c r="J584" s="585">
        <v>1</v>
      </c>
      <c r="K584" s="585" t="s">
        <v>862</v>
      </c>
      <c r="L584" s="678">
        <v>348</v>
      </c>
      <c r="M584" s="649" t="s">
        <v>2533</v>
      </c>
      <c r="N584" s="679">
        <v>67.071199999999919</v>
      </c>
      <c r="O584" s="679">
        <v>134.15400000000011</v>
      </c>
      <c r="P584" s="589" t="s">
        <v>2534</v>
      </c>
      <c r="Q584" s="680">
        <v>336.67839999999967</v>
      </c>
      <c r="R584" s="696"/>
      <c r="S584" s="553"/>
      <c r="T584" s="553"/>
      <c r="U584" s="553"/>
      <c r="V584" s="553"/>
      <c r="W584" s="553"/>
      <c r="X584" s="553"/>
      <c r="Y584" s="553"/>
      <c r="Z584" s="553"/>
      <c r="AA584" s="553"/>
      <c r="AB584" s="554"/>
      <c r="AC584" s="555"/>
      <c r="AD584" s="556"/>
      <c r="AE584" s="556"/>
      <c r="AF584" s="556"/>
      <c r="AG584" s="556"/>
    </row>
    <row r="585" spans="1:33">
      <c r="A585" s="585">
        <v>571</v>
      </c>
      <c r="B585" s="587" t="s">
        <v>4410</v>
      </c>
      <c r="C585" s="585">
        <v>571</v>
      </c>
      <c r="D585" s="629" t="s">
        <v>2309</v>
      </c>
      <c r="E585" s="586" t="s">
        <v>4415</v>
      </c>
      <c r="F585" s="675">
        <v>3.84199E-2</v>
      </c>
      <c r="G585" s="676">
        <v>2538.48</v>
      </c>
      <c r="H585" s="588">
        <v>487.2</v>
      </c>
      <c r="I585" s="587" t="s">
        <v>549</v>
      </c>
      <c r="J585" s="585">
        <v>1</v>
      </c>
      <c r="K585" s="585" t="s">
        <v>4420</v>
      </c>
      <c r="L585" s="678">
        <v>348</v>
      </c>
      <c r="M585" s="649" t="s">
        <v>2533</v>
      </c>
      <c r="N585" s="679">
        <v>67.071199999999919</v>
      </c>
      <c r="O585" s="679">
        <v>134.15400000000011</v>
      </c>
      <c r="P585" s="589" t="s">
        <v>2534</v>
      </c>
      <c r="Q585" s="680">
        <v>336.67839999999967</v>
      </c>
      <c r="R585" s="696"/>
      <c r="S585" s="553"/>
      <c r="T585" s="553"/>
      <c r="U585" s="553"/>
      <c r="V585" s="553"/>
      <c r="W585" s="553"/>
      <c r="X585" s="553"/>
      <c r="Y585" s="553"/>
      <c r="Z585" s="553"/>
      <c r="AA585" s="553"/>
      <c r="AB585" s="554"/>
      <c r="AC585" s="555"/>
      <c r="AD585" s="556"/>
      <c r="AE585" s="556"/>
      <c r="AF585" s="556"/>
      <c r="AG585" s="556"/>
    </row>
    <row r="586" spans="1:33">
      <c r="A586" s="585">
        <v>572</v>
      </c>
      <c r="B586" s="587" t="s">
        <v>2874</v>
      </c>
      <c r="C586" s="585">
        <v>572</v>
      </c>
      <c r="D586" s="629" t="s">
        <v>2309</v>
      </c>
      <c r="E586" s="586" t="s">
        <v>355</v>
      </c>
      <c r="F586" s="675">
        <v>3.3987400000000001E-2</v>
      </c>
      <c r="G586" s="676">
        <v>2538.48</v>
      </c>
      <c r="H586" s="588">
        <v>487.2</v>
      </c>
      <c r="I586" s="587" t="s">
        <v>549</v>
      </c>
      <c r="J586" s="585">
        <v>1</v>
      </c>
      <c r="K586" s="585" t="s">
        <v>863</v>
      </c>
      <c r="L586" s="678">
        <v>348</v>
      </c>
      <c r="M586" s="649" t="s">
        <v>2533</v>
      </c>
      <c r="N586" s="679">
        <v>67.071199999999919</v>
      </c>
      <c r="O586" s="679">
        <v>134.15400000000011</v>
      </c>
      <c r="P586" s="589" t="s">
        <v>2534</v>
      </c>
      <c r="Q586" s="680">
        <v>336.67839999999967</v>
      </c>
      <c r="R586" s="696"/>
      <c r="S586" s="553"/>
      <c r="T586" s="553"/>
      <c r="U586" s="553"/>
      <c r="V586" s="553"/>
      <c r="W586" s="553"/>
      <c r="X586" s="553"/>
      <c r="Y586" s="553"/>
      <c r="Z586" s="553"/>
      <c r="AA586" s="553"/>
      <c r="AB586" s="554"/>
      <c r="AC586" s="555"/>
      <c r="AD586" s="556"/>
      <c r="AE586" s="556"/>
      <c r="AF586" s="556"/>
      <c r="AG586" s="556"/>
    </row>
    <row r="587" spans="1:33">
      <c r="A587" s="585">
        <v>573</v>
      </c>
      <c r="B587" s="587" t="s">
        <v>2875</v>
      </c>
      <c r="C587" s="585">
        <v>573</v>
      </c>
      <c r="D587" s="629" t="s">
        <v>2309</v>
      </c>
      <c r="E587" s="586" t="s">
        <v>356</v>
      </c>
      <c r="F587" s="675">
        <v>3.3987400000000001E-2</v>
      </c>
      <c r="G587" s="676">
        <v>2538.48</v>
      </c>
      <c r="H587" s="588">
        <v>487.2</v>
      </c>
      <c r="I587" s="587" t="s">
        <v>549</v>
      </c>
      <c r="J587" s="585">
        <v>1</v>
      </c>
      <c r="K587" s="585" t="s">
        <v>864</v>
      </c>
      <c r="L587" s="678">
        <v>348</v>
      </c>
      <c r="M587" s="649" t="s">
        <v>2533</v>
      </c>
      <c r="N587" s="679">
        <v>67.071199999999919</v>
      </c>
      <c r="O587" s="679">
        <v>134.15400000000011</v>
      </c>
      <c r="P587" s="589" t="s">
        <v>2534</v>
      </c>
      <c r="Q587" s="680">
        <v>336.67839999999967</v>
      </c>
      <c r="R587" s="696"/>
      <c r="S587" s="553"/>
      <c r="T587" s="553"/>
      <c r="U587" s="553"/>
      <c r="V587" s="553"/>
      <c r="W587" s="553"/>
      <c r="X587" s="553"/>
      <c r="Y587" s="553"/>
      <c r="Z587" s="553"/>
      <c r="AA587" s="553"/>
      <c r="AB587" s="554"/>
      <c r="AC587" s="555"/>
      <c r="AD587" s="556"/>
      <c r="AE587" s="556"/>
      <c r="AF587" s="556"/>
      <c r="AG587" s="556"/>
    </row>
    <row r="588" spans="1:33">
      <c r="A588" s="585">
        <v>574</v>
      </c>
      <c r="B588" s="587" t="s">
        <v>2876</v>
      </c>
      <c r="C588" s="585">
        <v>574</v>
      </c>
      <c r="D588" s="629" t="s">
        <v>2309</v>
      </c>
      <c r="E588" s="586" t="s">
        <v>357</v>
      </c>
      <c r="F588" s="675">
        <v>3.2215399999999998E-2</v>
      </c>
      <c r="G588" s="676">
        <v>2538.48</v>
      </c>
      <c r="H588" s="588">
        <v>487.2</v>
      </c>
      <c r="I588" s="587" t="s">
        <v>549</v>
      </c>
      <c r="J588" s="585">
        <v>1</v>
      </c>
      <c r="K588" s="585" t="s">
        <v>865</v>
      </c>
      <c r="L588" s="678">
        <v>348</v>
      </c>
      <c r="M588" s="649" t="s">
        <v>2533</v>
      </c>
      <c r="N588" s="679">
        <v>67.071199999999919</v>
      </c>
      <c r="O588" s="679">
        <v>134.15400000000011</v>
      </c>
      <c r="P588" s="589" t="s">
        <v>2534</v>
      </c>
      <c r="Q588" s="680">
        <v>336.67839999999967</v>
      </c>
      <c r="R588" s="696"/>
      <c r="S588" s="553"/>
      <c r="T588" s="553"/>
      <c r="U588" s="553"/>
      <c r="V588" s="553"/>
      <c r="W588" s="553"/>
      <c r="X588" s="553"/>
      <c r="Y588" s="553"/>
      <c r="Z588" s="553"/>
      <c r="AA588" s="553"/>
      <c r="AB588" s="554"/>
      <c r="AC588" s="555"/>
      <c r="AD588" s="556"/>
      <c r="AE588" s="556"/>
      <c r="AF588" s="556"/>
      <c r="AG588" s="556"/>
    </row>
    <row r="589" spans="1:33">
      <c r="A589" s="585">
        <v>575</v>
      </c>
      <c r="B589" s="587" t="s">
        <v>2877</v>
      </c>
      <c r="C589" s="585">
        <v>575</v>
      </c>
      <c r="D589" s="629" t="s">
        <v>2309</v>
      </c>
      <c r="E589" s="586" t="s">
        <v>358</v>
      </c>
      <c r="F589" s="675">
        <v>3.7050300000000001E-2</v>
      </c>
      <c r="G589" s="676">
        <v>2538.48</v>
      </c>
      <c r="H589" s="588">
        <v>487.2</v>
      </c>
      <c r="I589" s="587" t="s">
        <v>549</v>
      </c>
      <c r="J589" s="585">
        <v>1</v>
      </c>
      <c r="K589" s="585" t="s">
        <v>866</v>
      </c>
      <c r="L589" s="678">
        <v>348</v>
      </c>
      <c r="M589" s="649" t="s">
        <v>2533</v>
      </c>
      <c r="N589" s="679">
        <v>67.071199999999919</v>
      </c>
      <c r="O589" s="679">
        <v>134.15400000000011</v>
      </c>
      <c r="P589" s="589" t="s">
        <v>2534</v>
      </c>
      <c r="Q589" s="680">
        <v>336.67839999999967</v>
      </c>
      <c r="R589" s="696"/>
      <c r="S589" s="553"/>
      <c r="T589" s="553"/>
      <c r="U589" s="553"/>
      <c r="V589" s="553"/>
      <c r="W589" s="553"/>
      <c r="X589" s="553"/>
      <c r="Y589" s="553"/>
      <c r="Z589" s="553"/>
      <c r="AA589" s="553"/>
      <c r="AB589" s="554"/>
      <c r="AC589" s="555"/>
      <c r="AD589" s="556"/>
      <c r="AE589" s="556"/>
      <c r="AF589" s="556"/>
      <c r="AG589" s="556"/>
    </row>
    <row r="590" spans="1:33">
      <c r="A590" s="585">
        <v>576</v>
      </c>
      <c r="B590" s="587" t="s">
        <v>2878</v>
      </c>
      <c r="C590" s="585">
        <v>576</v>
      </c>
      <c r="D590" s="629" t="s">
        <v>2309</v>
      </c>
      <c r="E590" s="586" t="s">
        <v>359</v>
      </c>
      <c r="F590" s="675">
        <v>2.90593E-2</v>
      </c>
      <c r="G590" s="676">
        <v>2538.48</v>
      </c>
      <c r="H590" s="588">
        <v>487.2</v>
      </c>
      <c r="I590" s="587" t="s">
        <v>549</v>
      </c>
      <c r="J590" s="585">
        <v>1</v>
      </c>
      <c r="K590" s="585" t="s">
        <v>867</v>
      </c>
      <c r="L590" s="678">
        <v>348</v>
      </c>
      <c r="M590" s="649" t="s">
        <v>2533</v>
      </c>
      <c r="N590" s="679">
        <v>67.071199999999919</v>
      </c>
      <c r="O590" s="679">
        <v>134.15400000000011</v>
      </c>
      <c r="P590" s="589" t="s">
        <v>2534</v>
      </c>
      <c r="Q590" s="680">
        <v>336.67839999999967</v>
      </c>
      <c r="R590" s="696"/>
      <c r="S590" s="553"/>
      <c r="T590" s="553"/>
      <c r="U590" s="553"/>
      <c r="V590" s="553"/>
      <c r="W590" s="553"/>
      <c r="X590" s="553"/>
      <c r="Y590" s="553"/>
      <c r="Z590" s="553"/>
      <c r="AA590" s="553"/>
      <c r="AB590" s="554"/>
      <c r="AC590" s="555"/>
      <c r="AD590" s="556"/>
      <c r="AE590" s="556"/>
      <c r="AF590" s="556"/>
      <c r="AG590" s="556"/>
    </row>
    <row r="591" spans="1:33">
      <c r="A591" s="585">
        <v>577</v>
      </c>
      <c r="B591" s="587" t="s">
        <v>2879</v>
      </c>
      <c r="C591" s="585">
        <v>577</v>
      </c>
      <c r="D591" s="629" t="s">
        <v>2309</v>
      </c>
      <c r="E591" s="586" t="s">
        <v>360</v>
      </c>
      <c r="F591" s="675">
        <v>4.0914499999999999E-2</v>
      </c>
      <c r="G591" s="676">
        <v>2538.48</v>
      </c>
      <c r="H591" s="588">
        <v>487.2</v>
      </c>
      <c r="I591" s="587" t="s">
        <v>549</v>
      </c>
      <c r="J591" s="585">
        <v>1</v>
      </c>
      <c r="K591" s="585" t="s">
        <v>868</v>
      </c>
      <c r="L591" s="678">
        <v>348</v>
      </c>
      <c r="M591" s="649" t="s">
        <v>2533</v>
      </c>
      <c r="N591" s="679">
        <v>67.071199999999919</v>
      </c>
      <c r="O591" s="679">
        <v>134.15400000000011</v>
      </c>
      <c r="P591" s="589" t="s">
        <v>2534</v>
      </c>
      <c r="Q591" s="680">
        <v>336.67839999999967</v>
      </c>
      <c r="R591" s="696"/>
      <c r="S591" s="553"/>
      <c r="T591" s="553"/>
      <c r="U591" s="553"/>
      <c r="V591" s="553"/>
      <c r="W591" s="553"/>
      <c r="X591" s="553"/>
      <c r="Y591" s="553"/>
      <c r="Z591" s="553"/>
      <c r="AA591" s="553"/>
      <c r="AB591" s="554"/>
      <c r="AC591" s="555"/>
      <c r="AD591" s="556"/>
      <c r="AE591" s="556"/>
      <c r="AF591" s="556"/>
      <c r="AG591" s="556"/>
    </row>
    <row r="592" spans="1:33">
      <c r="A592" s="585">
        <v>578</v>
      </c>
      <c r="B592" s="587" t="s">
        <v>2880</v>
      </c>
      <c r="C592" s="585">
        <v>578</v>
      </c>
      <c r="D592" s="629" t="s">
        <v>2309</v>
      </c>
      <c r="E592" s="586" t="s">
        <v>361</v>
      </c>
      <c r="F592" s="675">
        <v>3.5941899999999999E-2</v>
      </c>
      <c r="G592" s="676">
        <v>2538.48</v>
      </c>
      <c r="H592" s="588">
        <v>487.2</v>
      </c>
      <c r="I592" s="587" t="s">
        <v>549</v>
      </c>
      <c r="J592" s="585">
        <v>1</v>
      </c>
      <c r="K592" s="585" t="s">
        <v>869</v>
      </c>
      <c r="L592" s="678">
        <v>348</v>
      </c>
      <c r="M592" s="649" t="s">
        <v>2533</v>
      </c>
      <c r="N592" s="679">
        <v>67.071199999999919</v>
      </c>
      <c r="O592" s="679">
        <v>134.15400000000011</v>
      </c>
      <c r="P592" s="589" t="s">
        <v>2534</v>
      </c>
      <c r="Q592" s="680">
        <v>336.67839999999967</v>
      </c>
      <c r="R592" s="696"/>
      <c r="S592" s="553"/>
      <c r="T592" s="553"/>
      <c r="U592" s="553"/>
      <c r="V592" s="553"/>
      <c r="W592" s="553"/>
      <c r="X592" s="553"/>
      <c r="Y592" s="553"/>
      <c r="Z592" s="553"/>
      <c r="AA592" s="553"/>
      <c r="AB592" s="554"/>
      <c r="AC592" s="555"/>
      <c r="AD592" s="556"/>
      <c r="AE592" s="556"/>
      <c r="AF592" s="556"/>
      <c r="AG592" s="556"/>
    </row>
    <row r="593" spans="1:33">
      <c r="A593" s="585">
        <v>579</v>
      </c>
      <c r="B593" s="587" t="s">
        <v>2881</v>
      </c>
      <c r="C593" s="585">
        <v>579</v>
      </c>
      <c r="D593" s="629" t="s">
        <v>2309</v>
      </c>
      <c r="E593" s="586" t="s">
        <v>362</v>
      </c>
      <c r="F593" s="675">
        <v>4.8639700000000001E-2</v>
      </c>
      <c r="G593" s="676">
        <v>3463.0023344000001</v>
      </c>
      <c r="H593" s="588">
        <v>487.2</v>
      </c>
      <c r="I593" s="587" t="s">
        <v>601</v>
      </c>
      <c r="J593" s="585">
        <v>2</v>
      </c>
      <c r="K593" s="585" t="s">
        <v>870</v>
      </c>
      <c r="L593" s="678">
        <v>348</v>
      </c>
      <c r="M593" s="649" t="s">
        <v>2533</v>
      </c>
      <c r="N593" s="679">
        <v>121.62599999999989</v>
      </c>
      <c r="O593" s="679">
        <v>243.24040000000008</v>
      </c>
      <c r="P593" s="589" t="s">
        <v>2534</v>
      </c>
      <c r="Q593" s="680">
        <v>336.67839999999967</v>
      </c>
      <c r="R593" s="696"/>
      <c r="S593" s="553"/>
      <c r="T593" s="553"/>
      <c r="U593" s="553"/>
      <c r="V593" s="553"/>
      <c r="W593" s="553"/>
      <c r="X593" s="553"/>
      <c r="Y593" s="553"/>
      <c r="Z593" s="553"/>
      <c r="AA593" s="553"/>
      <c r="AB593" s="554"/>
      <c r="AC593" s="555"/>
      <c r="AD593" s="556"/>
      <c r="AE593" s="556"/>
      <c r="AF593" s="556"/>
      <c r="AG593" s="556"/>
    </row>
    <row r="594" spans="1:33">
      <c r="A594" s="585">
        <v>580</v>
      </c>
      <c r="B594" s="587" t="s">
        <v>2882</v>
      </c>
      <c r="C594" s="585">
        <v>580</v>
      </c>
      <c r="D594" s="629" t="s">
        <v>2309</v>
      </c>
      <c r="E594" s="586" t="s">
        <v>363</v>
      </c>
      <c r="F594" s="675">
        <v>4.18877E-2</v>
      </c>
      <c r="G594" s="676">
        <v>2538.48</v>
      </c>
      <c r="H594" s="588">
        <v>487.2</v>
      </c>
      <c r="I594" s="587" t="s">
        <v>549</v>
      </c>
      <c r="J594" s="585">
        <v>1</v>
      </c>
      <c r="K594" s="585" t="s">
        <v>871</v>
      </c>
      <c r="L594" s="678">
        <v>348</v>
      </c>
      <c r="M594" s="649" t="s">
        <v>2533</v>
      </c>
      <c r="N594" s="679">
        <v>67.071199999999919</v>
      </c>
      <c r="O594" s="679">
        <v>134.15400000000011</v>
      </c>
      <c r="P594" s="589" t="s">
        <v>2534</v>
      </c>
      <c r="Q594" s="680">
        <v>336.67839999999967</v>
      </c>
      <c r="R594" s="696"/>
      <c r="S594" s="553"/>
      <c r="T594" s="553"/>
      <c r="U594" s="553"/>
      <c r="V594" s="553"/>
      <c r="W594" s="553"/>
      <c r="X594" s="553"/>
      <c r="Y594" s="553"/>
      <c r="Z594" s="553"/>
      <c r="AA594" s="553"/>
      <c r="AB594" s="554"/>
      <c r="AC594" s="555"/>
      <c r="AD594" s="556"/>
      <c r="AE594" s="556"/>
      <c r="AF594" s="556"/>
      <c r="AG594" s="556"/>
    </row>
    <row r="595" spans="1:33">
      <c r="A595" s="585">
        <v>581</v>
      </c>
      <c r="B595" s="587" t="s">
        <v>2883</v>
      </c>
      <c r="C595" s="585">
        <v>581</v>
      </c>
      <c r="D595" s="629" t="s">
        <v>2310</v>
      </c>
      <c r="E595" s="586" t="s">
        <v>364</v>
      </c>
      <c r="F595" s="675">
        <v>3.7725300000000003E-2</v>
      </c>
      <c r="G595" s="676">
        <v>2538.48</v>
      </c>
      <c r="H595" s="588">
        <v>487.2</v>
      </c>
      <c r="I595" s="587" t="s">
        <v>549</v>
      </c>
      <c r="J595" s="585">
        <v>1</v>
      </c>
      <c r="K595" s="585" t="s">
        <v>872</v>
      </c>
      <c r="L595" s="678">
        <v>348</v>
      </c>
      <c r="M595" s="649" t="s">
        <v>2533</v>
      </c>
      <c r="N595" s="679">
        <v>67.071199999999919</v>
      </c>
      <c r="O595" s="679">
        <v>134.15400000000011</v>
      </c>
      <c r="P595" s="589" t="s">
        <v>2534</v>
      </c>
      <c r="Q595" s="680">
        <v>336.67839999999967</v>
      </c>
      <c r="R595" s="696"/>
      <c r="S595" s="553"/>
      <c r="T595" s="553"/>
      <c r="U595" s="553"/>
      <c r="V595" s="553"/>
      <c r="W595" s="553"/>
      <c r="X595" s="553"/>
      <c r="Y595" s="553"/>
      <c r="Z595" s="553"/>
      <c r="AA595" s="553"/>
      <c r="AB595" s="554"/>
      <c r="AC595" s="555"/>
      <c r="AD595" s="556"/>
      <c r="AE595" s="556"/>
      <c r="AF595" s="556"/>
      <c r="AG595" s="556"/>
    </row>
    <row r="596" spans="1:33">
      <c r="A596" s="585">
        <v>582</v>
      </c>
      <c r="B596" s="587" t="s">
        <v>2884</v>
      </c>
      <c r="C596" s="585">
        <v>582</v>
      </c>
      <c r="D596" s="629" t="s">
        <v>2310</v>
      </c>
      <c r="E596" s="586" t="s">
        <v>365</v>
      </c>
      <c r="F596" s="675">
        <v>3.7725300000000003E-2</v>
      </c>
      <c r="G596" s="676">
        <v>2538.48</v>
      </c>
      <c r="H596" s="588">
        <v>487.2</v>
      </c>
      <c r="I596" s="587" t="s">
        <v>549</v>
      </c>
      <c r="J596" s="585">
        <v>1</v>
      </c>
      <c r="K596" s="585" t="s">
        <v>873</v>
      </c>
      <c r="L596" s="678">
        <v>348</v>
      </c>
      <c r="M596" s="649" t="s">
        <v>2533</v>
      </c>
      <c r="N596" s="679">
        <v>67.071199999999919</v>
      </c>
      <c r="O596" s="679">
        <v>134.15400000000011</v>
      </c>
      <c r="P596" s="589" t="s">
        <v>2534</v>
      </c>
      <c r="Q596" s="680">
        <v>336.67839999999967</v>
      </c>
      <c r="R596" s="696"/>
      <c r="S596" s="553"/>
      <c r="T596" s="553"/>
      <c r="U596" s="553"/>
      <c r="V596" s="553"/>
      <c r="W596" s="553"/>
      <c r="X596" s="553"/>
      <c r="Y596" s="553"/>
      <c r="Z596" s="553"/>
      <c r="AA596" s="553"/>
      <c r="AB596" s="554"/>
      <c r="AC596" s="555"/>
      <c r="AD596" s="556"/>
      <c r="AE596" s="556"/>
      <c r="AF596" s="556"/>
      <c r="AG596" s="556"/>
    </row>
    <row r="597" spans="1:33">
      <c r="A597" s="585">
        <v>583</v>
      </c>
      <c r="B597" s="587" t="s">
        <v>2885</v>
      </c>
      <c r="C597" s="585">
        <v>583</v>
      </c>
      <c r="D597" s="629" t="s">
        <v>2311</v>
      </c>
      <c r="E597" s="586" t="s">
        <v>366</v>
      </c>
      <c r="F597" s="675">
        <v>4.7289500000000005E-2</v>
      </c>
      <c r="G597" s="676">
        <v>2538.48</v>
      </c>
      <c r="H597" s="588">
        <v>487.2</v>
      </c>
      <c r="I597" s="587" t="s">
        <v>549</v>
      </c>
      <c r="J597" s="585">
        <v>1</v>
      </c>
      <c r="K597" s="585" t="s">
        <v>874</v>
      </c>
      <c r="L597" s="678">
        <v>348</v>
      </c>
      <c r="M597" s="649" t="s">
        <v>2533</v>
      </c>
      <c r="N597" s="679">
        <v>67.071199999999919</v>
      </c>
      <c r="O597" s="679">
        <v>134.15400000000011</v>
      </c>
      <c r="P597" s="589" t="s">
        <v>2534</v>
      </c>
      <c r="Q597" s="680">
        <v>336.67839999999967</v>
      </c>
      <c r="R597" s="696"/>
      <c r="S597" s="553"/>
      <c r="T597" s="553"/>
      <c r="U597" s="553"/>
      <c r="V597" s="553"/>
      <c r="W597" s="553"/>
      <c r="X597" s="553"/>
      <c r="Y597" s="553"/>
      <c r="Z597" s="553"/>
      <c r="AA597" s="553"/>
      <c r="AB597" s="554"/>
      <c r="AC597" s="555"/>
      <c r="AD597" s="556"/>
      <c r="AE597" s="556"/>
      <c r="AF597" s="556"/>
      <c r="AG597" s="556"/>
    </row>
    <row r="598" spans="1:33">
      <c r="A598" s="585">
        <v>584</v>
      </c>
      <c r="B598" s="587" t="s">
        <v>2886</v>
      </c>
      <c r="C598" s="585">
        <v>584</v>
      </c>
      <c r="D598" s="629" t="s">
        <v>2311</v>
      </c>
      <c r="E598" s="586" t="s">
        <v>367</v>
      </c>
      <c r="F598" s="675">
        <v>4.9665100000000004E-2</v>
      </c>
      <c r="G598" s="676">
        <v>2538.48</v>
      </c>
      <c r="H598" s="588">
        <v>487.2</v>
      </c>
      <c r="I598" s="587" t="s">
        <v>549</v>
      </c>
      <c r="J598" s="585">
        <v>1</v>
      </c>
      <c r="K598" s="585" t="s">
        <v>875</v>
      </c>
      <c r="L598" s="678">
        <v>348</v>
      </c>
      <c r="M598" s="649" t="s">
        <v>2533</v>
      </c>
      <c r="N598" s="679">
        <v>67.071199999999919</v>
      </c>
      <c r="O598" s="679">
        <v>134.15400000000011</v>
      </c>
      <c r="P598" s="589" t="s">
        <v>2534</v>
      </c>
      <c r="Q598" s="680">
        <v>336.67839999999967</v>
      </c>
      <c r="R598" s="696"/>
      <c r="S598" s="553"/>
      <c r="T598" s="553"/>
      <c r="U598" s="553"/>
      <c r="V598" s="553"/>
      <c r="W598" s="553"/>
      <c r="X598" s="553"/>
      <c r="Y598" s="553"/>
      <c r="Z598" s="553"/>
      <c r="AA598" s="553"/>
      <c r="AB598" s="554"/>
      <c r="AC598" s="555"/>
      <c r="AD598" s="556"/>
      <c r="AE598" s="556"/>
      <c r="AF598" s="556"/>
      <c r="AG598" s="556"/>
    </row>
    <row r="599" spans="1:33">
      <c r="A599" s="585">
        <v>585</v>
      </c>
      <c r="B599" s="587" t="s">
        <v>2887</v>
      </c>
      <c r="C599" s="585">
        <v>585</v>
      </c>
      <c r="D599" s="629" t="s">
        <v>2311</v>
      </c>
      <c r="E599" s="586" t="s">
        <v>368</v>
      </c>
      <c r="F599" s="675">
        <v>5.8476100000000003E-2</v>
      </c>
      <c r="G599" s="676">
        <v>2538.48</v>
      </c>
      <c r="H599" s="588">
        <v>487.2</v>
      </c>
      <c r="I599" s="587" t="s">
        <v>549</v>
      </c>
      <c r="J599" s="585">
        <v>1</v>
      </c>
      <c r="K599" s="585" t="s">
        <v>876</v>
      </c>
      <c r="L599" s="678">
        <v>348</v>
      </c>
      <c r="M599" s="649" t="s">
        <v>2533</v>
      </c>
      <c r="N599" s="679">
        <v>67.071199999999919</v>
      </c>
      <c r="O599" s="679">
        <v>134.15400000000011</v>
      </c>
      <c r="P599" s="589" t="s">
        <v>2534</v>
      </c>
      <c r="Q599" s="680">
        <v>336.67839999999967</v>
      </c>
      <c r="R599" s="696"/>
      <c r="S599" s="553"/>
      <c r="T599" s="553"/>
      <c r="U599" s="553"/>
      <c r="V599" s="553"/>
      <c r="W599" s="553"/>
      <c r="X599" s="553"/>
      <c r="Y599" s="553"/>
      <c r="Z599" s="553"/>
      <c r="AA599" s="553"/>
      <c r="AB599" s="554"/>
      <c r="AC599" s="555"/>
      <c r="AD599" s="556"/>
      <c r="AE599" s="556"/>
      <c r="AF599" s="556"/>
      <c r="AG599" s="556"/>
    </row>
    <row r="600" spans="1:33">
      <c r="A600" s="585">
        <v>586</v>
      </c>
      <c r="B600" s="587" t="s">
        <v>2888</v>
      </c>
      <c r="C600" s="585">
        <v>586</v>
      </c>
      <c r="D600" s="629" t="s">
        <v>2311</v>
      </c>
      <c r="E600" s="586" t="s">
        <v>369</v>
      </c>
      <c r="F600" s="675">
        <v>4.7440300000000005E-2</v>
      </c>
      <c r="G600" s="676">
        <v>2538.48</v>
      </c>
      <c r="H600" s="588">
        <v>487.2</v>
      </c>
      <c r="I600" s="587" t="s">
        <v>549</v>
      </c>
      <c r="J600" s="585">
        <v>1</v>
      </c>
      <c r="K600" s="585" t="s">
        <v>877</v>
      </c>
      <c r="L600" s="678">
        <v>348</v>
      </c>
      <c r="M600" s="649" t="s">
        <v>2533</v>
      </c>
      <c r="N600" s="679">
        <v>67.071199999999919</v>
      </c>
      <c r="O600" s="679">
        <v>134.15400000000011</v>
      </c>
      <c r="P600" s="589" t="s">
        <v>2534</v>
      </c>
      <c r="Q600" s="680">
        <v>336.67839999999967</v>
      </c>
      <c r="R600" s="696"/>
      <c r="S600" s="553"/>
      <c r="T600" s="553"/>
      <c r="U600" s="553"/>
      <c r="V600" s="553"/>
      <c r="W600" s="553"/>
      <c r="X600" s="553"/>
      <c r="Y600" s="553"/>
      <c r="Z600" s="553"/>
      <c r="AA600" s="553"/>
      <c r="AB600" s="554"/>
      <c r="AC600" s="555"/>
      <c r="AD600" s="556"/>
      <c r="AE600" s="556"/>
      <c r="AF600" s="556"/>
      <c r="AG600" s="556"/>
    </row>
    <row r="601" spans="1:33">
      <c r="A601" s="585">
        <v>587</v>
      </c>
      <c r="B601" s="587" t="s">
        <v>2889</v>
      </c>
      <c r="C601" s="585">
        <v>587</v>
      </c>
      <c r="D601" s="629" t="s">
        <v>2311</v>
      </c>
      <c r="E601" s="586" t="s">
        <v>370</v>
      </c>
      <c r="F601" s="675">
        <v>4.6474799999999997E-2</v>
      </c>
      <c r="G601" s="676">
        <v>2538.48</v>
      </c>
      <c r="H601" s="588">
        <v>487.2</v>
      </c>
      <c r="I601" s="587" t="s">
        <v>549</v>
      </c>
      <c r="J601" s="585">
        <v>1</v>
      </c>
      <c r="K601" s="585" t="s">
        <v>878</v>
      </c>
      <c r="L601" s="678">
        <v>348</v>
      </c>
      <c r="M601" s="649" t="s">
        <v>2533</v>
      </c>
      <c r="N601" s="679">
        <v>67.071199999999919</v>
      </c>
      <c r="O601" s="679">
        <v>134.15400000000011</v>
      </c>
      <c r="P601" s="589" t="s">
        <v>2534</v>
      </c>
      <c r="Q601" s="680">
        <v>336.67839999999967</v>
      </c>
      <c r="R601" s="696"/>
      <c r="S601" s="553"/>
      <c r="T601" s="553"/>
      <c r="U601" s="553"/>
      <c r="V601" s="553"/>
      <c r="W601" s="553"/>
      <c r="X601" s="553"/>
      <c r="Y601" s="553"/>
      <c r="Z601" s="553"/>
      <c r="AA601" s="553"/>
      <c r="AB601" s="554"/>
      <c r="AC601" s="555"/>
      <c r="AD601" s="556"/>
      <c r="AE601" s="556"/>
      <c r="AF601" s="556"/>
      <c r="AG601" s="556"/>
    </row>
    <row r="602" spans="1:33">
      <c r="A602" s="585">
        <v>588</v>
      </c>
      <c r="B602" s="587" t="s">
        <v>2890</v>
      </c>
      <c r="C602" s="585">
        <v>588</v>
      </c>
      <c r="D602" s="629" t="s">
        <v>2311</v>
      </c>
      <c r="E602" s="586" t="s">
        <v>2891</v>
      </c>
      <c r="F602" s="675">
        <v>4.6474799999999997E-2</v>
      </c>
      <c r="G602" s="676">
        <v>2538.48</v>
      </c>
      <c r="H602" s="588">
        <v>487.2</v>
      </c>
      <c r="I602" s="587" t="s">
        <v>549</v>
      </c>
      <c r="J602" s="585">
        <v>1</v>
      </c>
      <c r="K602" s="585" t="s">
        <v>2892</v>
      </c>
      <c r="L602" s="678">
        <v>348</v>
      </c>
      <c r="M602" s="649" t="s">
        <v>2533</v>
      </c>
      <c r="N602" s="679">
        <v>67.071199999999919</v>
      </c>
      <c r="O602" s="679">
        <v>134.15400000000011</v>
      </c>
      <c r="P602" s="589" t="s">
        <v>2534</v>
      </c>
      <c r="Q602" s="680">
        <v>336.67839999999967</v>
      </c>
      <c r="R602" s="696"/>
      <c r="S602" s="553"/>
      <c r="T602" s="553"/>
      <c r="U602" s="553"/>
      <c r="V602" s="553"/>
      <c r="W602" s="553"/>
      <c r="X602" s="553"/>
      <c r="Y602" s="553"/>
      <c r="Z602" s="553"/>
      <c r="AA602" s="553"/>
      <c r="AB602" s="554"/>
      <c r="AC602" s="555"/>
      <c r="AD602" s="556"/>
      <c r="AE602" s="556"/>
      <c r="AF602" s="556"/>
      <c r="AG602" s="556"/>
    </row>
    <row r="603" spans="1:33">
      <c r="A603" s="585">
        <v>589</v>
      </c>
      <c r="B603" s="587" t="s">
        <v>2893</v>
      </c>
      <c r="C603" s="585">
        <v>589</v>
      </c>
      <c r="D603" s="629" t="s">
        <v>2311</v>
      </c>
      <c r="E603" s="586" t="s">
        <v>371</v>
      </c>
      <c r="F603" s="675">
        <v>4.8911400000000001E-2</v>
      </c>
      <c r="G603" s="676">
        <v>2538.48</v>
      </c>
      <c r="H603" s="588">
        <v>487.2</v>
      </c>
      <c r="I603" s="587" t="s">
        <v>549</v>
      </c>
      <c r="J603" s="585">
        <v>1</v>
      </c>
      <c r="K603" s="585" t="s">
        <v>879</v>
      </c>
      <c r="L603" s="678">
        <v>348</v>
      </c>
      <c r="M603" s="649" t="s">
        <v>2533</v>
      </c>
      <c r="N603" s="679">
        <v>67.071199999999919</v>
      </c>
      <c r="O603" s="679">
        <v>134.15400000000011</v>
      </c>
      <c r="P603" s="589" t="s">
        <v>2534</v>
      </c>
      <c r="Q603" s="680">
        <v>336.67839999999967</v>
      </c>
      <c r="R603" s="696"/>
      <c r="S603" s="553"/>
      <c r="T603" s="553"/>
      <c r="U603" s="553"/>
      <c r="V603" s="553"/>
      <c r="W603" s="553"/>
      <c r="X603" s="553"/>
      <c r="Y603" s="553"/>
      <c r="Z603" s="553"/>
      <c r="AA603" s="553"/>
      <c r="AB603" s="554"/>
      <c r="AC603" s="555"/>
      <c r="AD603" s="556"/>
      <c r="AE603" s="556"/>
      <c r="AF603" s="556"/>
      <c r="AG603" s="556"/>
    </row>
    <row r="604" spans="1:33">
      <c r="A604" s="585">
        <v>590</v>
      </c>
      <c r="B604" s="587" t="s">
        <v>4499</v>
      </c>
      <c r="C604" s="585">
        <v>590</v>
      </c>
      <c r="D604" s="629" t="s">
        <v>2311</v>
      </c>
      <c r="E604" s="586" t="s">
        <v>4504</v>
      </c>
      <c r="F604" s="675">
        <v>4.6474799999999997E-2</v>
      </c>
      <c r="G604" s="676">
        <v>2538.48</v>
      </c>
      <c r="H604" s="588">
        <v>487.2</v>
      </c>
      <c r="I604" s="587" t="s">
        <v>549</v>
      </c>
      <c r="J604" s="585">
        <v>1</v>
      </c>
      <c r="K604" s="585" t="s">
        <v>4509</v>
      </c>
      <c r="L604" s="678">
        <v>348</v>
      </c>
      <c r="M604" s="649" t="s">
        <v>2533</v>
      </c>
      <c r="N604" s="679">
        <v>67.071199999999919</v>
      </c>
      <c r="O604" s="679">
        <v>134.15400000000011</v>
      </c>
      <c r="P604" s="589" t="s">
        <v>2534</v>
      </c>
      <c r="Q604" s="680">
        <v>336.67839999999967</v>
      </c>
      <c r="R604" s="696"/>
      <c r="S604" s="553"/>
      <c r="T604" s="553"/>
      <c r="U604" s="553"/>
      <c r="V604" s="553"/>
      <c r="W604" s="553"/>
      <c r="X604" s="553"/>
      <c r="Y604" s="553"/>
      <c r="Z604" s="553"/>
      <c r="AA604" s="553"/>
      <c r="AB604" s="554"/>
      <c r="AC604" s="555"/>
      <c r="AD604" s="556"/>
      <c r="AE604" s="556"/>
      <c r="AF604" s="556"/>
      <c r="AG604" s="556"/>
    </row>
    <row r="605" spans="1:33">
      <c r="A605" s="585">
        <v>591</v>
      </c>
      <c r="B605" s="587" t="s">
        <v>3606</v>
      </c>
      <c r="C605" s="585">
        <v>591</v>
      </c>
      <c r="D605" s="629" t="s">
        <v>2311</v>
      </c>
      <c r="E605" s="586" t="s">
        <v>3780</v>
      </c>
      <c r="F605" s="675">
        <v>4.6474799999999997E-2</v>
      </c>
      <c r="G605" s="676">
        <v>2538.48</v>
      </c>
      <c r="H605" s="588">
        <v>487.2</v>
      </c>
      <c r="I605" s="587" t="s">
        <v>549</v>
      </c>
      <c r="J605" s="585">
        <v>1</v>
      </c>
      <c r="K605" s="585" t="s">
        <v>3694</v>
      </c>
      <c r="L605" s="678">
        <v>348</v>
      </c>
      <c r="M605" s="649" t="s">
        <v>2533</v>
      </c>
      <c r="N605" s="679">
        <v>67.071199999999919</v>
      </c>
      <c r="O605" s="679">
        <v>134.15400000000011</v>
      </c>
      <c r="P605" s="589" t="s">
        <v>2534</v>
      </c>
      <c r="Q605" s="680">
        <v>336.67839999999967</v>
      </c>
      <c r="R605" s="696"/>
      <c r="S605" s="553"/>
      <c r="T605" s="553"/>
      <c r="U605" s="553"/>
      <c r="V605" s="553"/>
      <c r="W605" s="553"/>
      <c r="X605" s="553"/>
      <c r="Y605" s="553"/>
      <c r="Z605" s="553"/>
      <c r="AA605" s="553"/>
      <c r="AB605" s="554"/>
      <c r="AC605" s="555"/>
      <c r="AD605" s="556"/>
      <c r="AE605" s="556"/>
      <c r="AF605" s="556"/>
      <c r="AG605" s="556"/>
    </row>
    <row r="606" spans="1:33">
      <c r="A606" s="585">
        <v>592</v>
      </c>
      <c r="B606" s="587" t="s">
        <v>2894</v>
      </c>
      <c r="C606" s="585">
        <v>592</v>
      </c>
      <c r="D606" s="629" t="s">
        <v>2311</v>
      </c>
      <c r="E606" s="586" t="s">
        <v>372</v>
      </c>
      <c r="F606" s="675">
        <v>4.7931299999999996E-2</v>
      </c>
      <c r="G606" s="676">
        <v>2538.48</v>
      </c>
      <c r="H606" s="588">
        <v>487.2</v>
      </c>
      <c r="I606" s="587" t="s">
        <v>549</v>
      </c>
      <c r="J606" s="585">
        <v>1</v>
      </c>
      <c r="K606" s="585" t="s">
        <v>880</v>
      </c>
      <c r="L606" s="678">
        <v>348</v>
      </c>
      <c r="M606" s="649" t="s">
        <v>2533</v>
      </c>
      <c r="N606" s="679">
        <v>67.071199999999919</v>
      </c>
      <c r="O606" s="679">
        <v>134.15400000000011</v>
      </c>
      <c r="P606" s="589" t="s">
        <v>2534</v>
      </c>
      <c r="Q606" s="680">
        <v>336.67839999999967</v>
      </c>
      <c r="R606" s="696"/>
      <c r="S606" s="553"/>
      <c r="T606" s="553"/>
      <c r="U606" s="553"/>
      <c r="V606" s="553"/>
      <c r="W606" s="553"/>
      <c r="X606" s="553"/>
      <c r="Y606" s="553"/>
      <c r="Z606" s="553"/>
      <c r="AA606" s="553"/>
      <c r="AB606" s="554"/>
      <c r="AC606" s="555"/>
      <c r="AD606" s="556"/>
      <c r="AE606" s="556"/>
      <c r="AF606" s="556"/>
      <c r="AG606" s="556"/>
    </row>
    <row r="607" spans="1:33">
      <c r="A607" s="585">
        <v>593</v>
      </c>
      <c r="B607" s="587" t="s">
        <v>3343</v>
      </c>
      <c r="C607" s="585">
        <v>593</v>
      </c>
      <c r="D607" s="629" t="s">
        <v>2311</v>
      </c>
      <c r="E607" s="586" t="s">
        <v>3344</v>
      </c>
      <c r="F607" s="675">
        <v>5.7060599999999996E-2</v>
      </c>
      <c r="G607" s="676">
        <v>2538.48</v>
      </c>
      <c r="H607" s="588">
        <v>487.2</v>
      </c>
      <c r="I607" s="587" t="s">
        <v>549</v>
      </c>
      <c r="J607" s="585">
        <v>1</v>
      </c>
      <c r="K607" s="585" t="s">
        <v>3345</v>
      </c>
      <c r="L607" s="678">
        <v>348</v>
      </c>
      <c r="M607" s="649" t="s">
        <v>2533</v>
      </c>
      <c r="N607" s="679">
        <v>67.071199999999919</v>
      </c>
      <c r="O607" s="679">
        <v>134.15400000000011</v>
      </c>
      <c r="P607" s="589" t="s">
        <v>2534</v>
      </c>
      <c r="Q607" s="680">
        <v>336.67839999999967</v>
      </c>
      <c r="R607" s="696"/>
      <c r="S607" s="553"/>
      <c r="T607" s="553"/>
      <c r="U607" s="553"/>
      <c r="V607" s="553"/>
      <c r="W607" s="553"/>
      <c r="X607" s="553"/>
      <c r="Y607" s="553"/>
      <c r="Z607" s="553"/>
      <c r="AA607" s="553"/>
      <c r="AB607" s="554"/>
      <c r="AC607" s="555"/>
      <c r="AD607" s="556"/>
      <c r="AE607" s="556"/>
      <c r="AF607" s="556"/>
      <c r="AG607" s="556"/>
    </row>
    <row r="608" spans="1:33">
      <c r="A608" s="585">
        <v>594</v>
      </c>
      <c r="B608" s="587" t="s">
        <v>3607</v>
      </c>
      <c r="C608" s="585">
        <v>594</v>
      </c>
      <c r="D608" s="629" t="s">
        <v>2311</v>
      </c>
      <c r="E608" s="586" t="s">
        <v>3781</v>
      </c>
      <c r="F608" s="675">
        <v>5.7060599999999996E-2</v>
      </c>
      <c r="G608" s="676">
        <v>2538.48</v>
      </c>
      <c r="H608" s="588">
        <v>487.2</v>
      </c>
      <c r="I608" s="587" t="s">
        <v>549</v>
      </c>
      <c r="J608" s="585">
        <v>1</v>
      </c>
      <c r="K608" s="585" t="s">
        <v>3695</v>
      </c>
      <c r="L608" s="678">
        <v>348</v>
      </c>
      <c r="M608" s="649" t="s">
        <v>2533</v>
      </c>
      <c r="N608" s="679">
        <v>67.071199999999919</v>
      </c>
      <c r="O608" s="679">
        <v>134.15400000000011</v>
      </c>
      <c r="P608" s="589" t="s">
        <v>2534</v>
      </c>
      <c r="Q608" s="680">
        <v>336.67839999999967</v>
      </c>
      <c r="R608" s="696"/>
      <c r="S608" s="553"/>
      <c r="T608" s="553"/>
      <c r="U608" s="553"/>
      <c r="V608" s="553"/>
      <c r="W608" s="553"/>
      <c r="X608" s="553"/>
      <c r="Y608" s="553"/>
      <c r="Z608" s="553"/>
      <c r="AA608" s="553"/>
      <c r="AB608" s="554"/>
      <c r="AC608" s="555"/>
      <c r="AD608" s="556"/>
      <c r="AE608" s="556"/>
      <c r="AF608" s="556"/>
      <c r="AG608" s="556"/>
    </row>
    <row r="609" spans="1:33">
      <c r="A609" s="585">
        <v>595</v>
      </c>
      <c r="B609" s="587" t="s">
        <v>3334</v>
      </c>
      <c r="C609" s="585">
        <v>595</v>
      </c>
      <c r="D609" s="629" t="s">
        <v>2311</v>
      </c>
      <c r="E609" s="586" t="s">
        <v>3335</v>
      </c>
      <c r="F609" s="675">
        <v>5.7060599999999996E-2</v>
      </c>
      <c r="G609" s="676">
        <v>2538.48</v>
      </c>
      <c r="H609" s="588">
        <v>487.2</v>
      </c>
      <c r="I609" s="587" t="s">
        <v>549</v>
      </c>
      <c r="J609" s="585">
        <v>1</v>
      </c>
      <c r="K609" s="585" t="s">
        <v>3336</v>
      </c>
      <c r="L609" s="678">
        <v>348</v>
      </c>
      <c r="M609" s="649" t="s">
        <v>2533</v>
      </c>
      <c r="N609" s="679">
        <v>67.071199999999919</v>
      </c>
      <c r="O609" s="679">
        <v>134.15400000000011</v>
      </c>
      <c r="P609" s="589" t="s">
        <v>2534</v>
      </c>
      <c r="Q609" s="680">
        <v>336.67839999999967</v>
      </c>
      <c r="R609" s="696"/>
      <c r="S609" s="553"/>
      <c r="T609" s="553"/>
      <c r="U609" s="553"/>
      <c r="V609" s="553"/>
      <c r="W609" s="553"/>
      <c r="X609" s="553"/>
      <c r="Y609" s="553"/>
      <c r="Z609" s="553"/>
      <c r="AA609" s="553"/>
      <c r="AB609" s="554"/>
      <c r="AC609" s="555"/>
      <c r="AD609" s="556"/>
      <c r="AE609" s="556"/>
      <c r="AF609" s="556"/>
      <c r="AG609" s="556"/>
    </row>
    <row r="610" spans="1:33">
      <c r="A610" s="585">
        <v>596</v>
      </c>
      <c r="B610" s="587" t="s">
        <v>2895</v>
      </c>
      <c r="C610" s="585">
        <v>596</v>
      </c>
      <c r="D610" s="629" t="s">
        <v>550</v>
      </c>
      <c r="E610" s="586" t="s">
        <v>550</v>
      </c>
      <c r="F610" s="675">
        <v>3.0097700000000002E-2</v>
      </c>
      <c r="G610" s="676">
        <v>2538.48</v>
      </c>
      <c r="H610" s="588">
        <v>487.2</v>
      </c>
      <c r="I610" s="587" t="s">
        <v>549</v>
      </c>
      <c r="J610" s="585">
        <v>1</v>
      </c>
      <c r="K610" s="585" t="s">
        <v>881</v>
      </c>
      <c r="L610" s="678">
        <v>348</v>
      </c>
      <c r="M610" s="649" t="s">
        <v>2533</v>
      </c>
      <c r="N610" s="679">
        <v>67.071199999999919</v>
      </c>
      <c r="O610" s="679">
        <v>134.15400000000011</v>
      </c>
      <c r="P610" s="589" t="s">
        <v>2534</v>
      </c>
      <c r="Q610" s="680">
        <v>336.67839999999967</v>
      </c>
      <c r="R610" s="696"/>
      <c r="S610" s="553"/>
      <c r="T610" s="553"/>
      <c r="U610" s="553"/>
      <c r="V610" s="553"/>
      <c r="W610" s="553"/>
      <c r="X610" s="553"/>
      <c r="Y610" s="553"/>
      <c r="Z610" s="553"/>
      <c r="AA610" s="553"/>
      <c r="AB610" s="554"/>
      <c r="AC610" s="555"/>
      <c r="AD610" s="556"/>
      <c r="AE610" s="556"/>
      <c r="AF610" s="556"/>
      <c r="AG610" s="556"/>
    </row>
    <row r="611" spans="1:33">
      <c r="A611" s="585">
        <v>597</v>
      </c>
      <c r="B611" s="587" t="s">
        <v>3608</v>
      </c>
      <c r="C611" s="585">
        <v>597</v>
      </c>
      <c r="D611" s="629" t="s">
        <v>2312</v>
      </c>
      <c r="E611" s="586" t="s">
        <v>3782</v>
      </c>
      <c r="F611" s="675">
        <v>5.0578399999999996E-2</v>
      </c>
      <c r="G611" s="676">
        <v>3463.0023344000001</v>
      </c>
      <c r="H611" s="588">
        <v>487.2</v>
      </c>
      <c r="I611" s="587" t="s">
        <v>601</v>
      </c>
      <c r="J611" s="585">
        <v>2</v>
      </c>
      <c r="K611" s="585" t="s">
        <v>3696</v>
      </c>
      <c r="L611" s="678">
        <v>348</v>
      </c>
      <c r="M611" s="649" t="s">
        <v>2533</v>
      </c>
      <c r="N611" s="679">
        <v>121.62599999999989</v>
      </c>
      <c r="O611" s="679">
        <v>243.24040000000008</v>
      </c>
      <c r="P611" s="589" t="s">
        <v>2534</v>
      </c>
      <c r="Q611" s="680">
        <v>336.67839999999967</v>
      </c>
      <c r="R611" s="696"/>
      <c r="S611" s="553"/>
      <c r="T611" s="553"/>
      <c r="U611" s="553"/>
      <c r="V611" s="553"/>
      <c r="W611" s="553"/>
      <c r="X611" s="553"/>
      <c r="Y611" s="553"/>
      <c r="Z611" s="553"/>
      <c r="AA611" s="553"/>
      <c r="AB611" s="554"/>
      <c r="AC611" s="555"/>
      <c r="AD611" s="556"/>
      <c r="AE611" s="556"/>
      <c r="AF611" s="556"/>
      <c r="AG611" s="556"/>
    </row>
    <row r="612" spans="1:33">
      <c r="A612" s="585">
        <v>598</v>
      </c>
      <c r="B612" s="587" t="s">
        <v>2896</v>
      </c>
      <c r="C612" s="585">
        <v>598</v>
      </c>
      <c r="D612" s="629" t="s">
        <v>2312</v>
      </c>
      <c r="E612" s="586" t="s">
        <v>373</v>
      </c>
      <c r="F612" s="675">
        <v>5.0578399999999996E-2</v>
      </c>
      <c r="G612" s="676">
        <v>3463.0023344000001</v>
      </c>
      <c r="H612" s="588">
        <v>487.2</v>
      </c>
      <c r="I612" s="587" t="s">
        <v>601</v>
      </c>
      <c r="J612" s="585">
        <v>2</v>
      </c>
      <c r="K612" s="585" t="s">
        <v>882</v>
      </c>
      <c r="L612" s="678">
        <v>348</v>
      </c>
      <c r="M612" s="649" t="s">
        <v>2533</v>
      </c>
      <c r="N612" s="679">
        <v>121.62599999999989</v>
      </c>
      <c r="O612" s="679">
        <v>243.24040000000008</v>
      </c>
      <c r="P612" s="589" t="s">
        <v>2534</v>
      </c>
      <c r="Q612" s="680">
        <v>336.67839999999967</v>
      </c>
      <c r="R612" s="696"/>
      <c r="S612" s="553"/>
      <c r="T612" s="553"/>
      <c r="U612" s="553"/>
      <c r="V612" s="553"/>
      <c r="W612" s="553"/>
      <c r="X612" s="553"/>
      <c r="Y612" s="553"/>
      <c r="Z612" s="553"/>
      <c r="AA612" s="553"/>
      <c r="AB612" s="554"/>
      <c r="AC612" s="555"/>
      <c r="AD612" s="556"/>
      <c r="AE612" s="556"/>
      <c r="AF612" s="556"/>
      <c r="AG612" s="556"/>
    </row>
    <row r="613" spans="1:33">
      <c r="A613" s="585">
        <v>599</v>
      </c>
      <c r="B613" s="587" t="s">
        <v>2897</v>
      </c>
      <c r="C613" s="585">
        <v>599</v>
      </c>
      <c r="D613" s="629" t="s">
        <v>2312</v>
      </c>
      <c r="E613" s="586" t="s">
        <v>374</v>
      </c>
      <c r="F613" s="675">
        <v>5.0578399999999996E-2</v>
      </c>
      <c r="G613" s="676">
        <v>3463.0023344000001</v>
      </c>
      <c r="H613" s="588">
        <v>487.2</v>
      </c>
      <c r="I613" s="587" t="s">
        <v>601</v>
      </c>
      <c r="J613" s="585">
        <v>2</v>
      </c>
      <c r="K613" s="585" t="s">
        <v>883</v>
      </c>
      <c r="L613" s="678">
        <v>348</v>
      </c>
      <c r="M613" s="649" t="s">
        <v>2533</v>
      </c>
      <c r="N613" s="679">
        <v>121.62599999999989</v>
      </c>
      <c r="O613" s="679">
        <v>243.24040000000008</v>
      </c>
      <c r="P613" s="589" t="s">
        <v>2534</v>
      </c>
      <c r="Q613" s="680">
        <v>336.67839999999967</v>
      </c>
      <c r="R613" s="696"/>
      <c r="S613" s="553"/>
      <c r="T613" s="553"/>
      <c r="U613" s="553"/>
      <c r="V613" s="553"/>
      <c r="W613" s="553"/>
      <c r="X613" s="553"/>
      <c r="Y613" s="553"/>
      <c r="Z613" s="553"/>
      <c r="AA613" s="553"/>
      <c r="AB613" s="554"/>
      <c r="AC613" s="555"/>
      <c r="AD613" s="556"/>
      <c r="AE613" s="556"/>
      <c r="AF613" s="556"/>
      <c r="AG613" s="556"/>
    </row>
    <row r="614" spans="1:33">
      <c r="A614" s="585">
        <v>600</v>
      </c>
      <c r="B614" s="587" t="s">
        <v>2898</v>
      </c>
      <c r="C614" s="585">
        <v>600</v>
      </c>
      <c r="D614" s="629" t="s">
        <v>2312</v>
      </c>
      <c r="E614" s="586" t="s">
        <v>375</v>
      </c>
      <c r="F614" s="675">
        <v>5.0578399999999996E-2</v>
      </c>
      <c r="G614" s="676">
        <v>3463.0023344000001</v>
      </c>
      <c r="H614" s="588">
        <v>487.2</v>
      </c>
      <c r="I614" s="587" t="s">
        <v>601</v>
      </c>
      <c r="J614" s="585">
        <v>2</v>
      </c>
      <c r="K614" s="585" t="s">
        <v>884</v>
      </c>
      <c r="L614" s="678">
        <v>348</v>
      </c>
      <c r="M614" s="649" t="s">
        <v>2533</v>
      </c>
      <c r="N614" s="679">
        <v>121.62599999999989</v>
      </c>
      <c r="O614" s="679">
        <v>243.24040000000008</v>
      </c>
      <c r="P614" s="589" t="s">
        <v>2534</v>
      </c>
      <c r="Q614" s="680">
        <v>336.67839999999967</v>
      </c>
      <c r="R614" s="696"/>
      <c r="S614" s="553"/>
      <c r="T614" s="553"/>
      <c r="U614" s="553"/>
      <c r="V614" s="553"/>
      <c r="W614" s="553"/>
      <c r="X614" s="553"/>
      <c r="Y614" s="553"/>
      <c r="Z614" s="553"/>
      <c r="AA614" s="553"/>
      <c r="AB614" s="554"/>
      <c r="AC614" s="555"/>
      <c r="AD614" s="556"/>
      <c r="AE614" s="556"/>
      <c r="AF614" s="556"/>
      <c r="AG614" s="556"/>
    </row>
    <row r="615" spans="1:33">
      <c r="A615" s="585">
        <v>601</v>
      </c>
      <c r="B615" s="587" t="s">
        <v>2899</v>
      </c>
      <c r="C615" s="585">
        <v>601</v>
      </c>
      <c r="D615" s="629" t="s">
        <v>2312</v>
      </c>
      <c r="E615" s="586" t="s">
        <v>376</v>
      </c>
      <c r="F615" s="675">
        <v>5.0578399999999996E-2</v>
      </c>
      <c r="G615" s="676">
        <v>3463.0023344000001</v>
      </c>
      <c r="H615" s="588">
        <v>487.2</v>
      </c>
      <c r="I615" s="587" t="s">
        <v>601</v>
      </c>
      <c r="J615" s="585">
        <v>2</v>
      </c>
      <c r="K615" s="585" t="s">
        <v>885</v>
      </c>
      <c r="L615" s="678">
        <v>348</v>
      </c>
      <c r="M615" s="649" t="s">
        <v>2533</v>
      </c>
      <c r="N615" s="679">
        <v>121.62599999999989</v>
      </c>
      <c r="O615" s="679">
        <v>243.24040000000008</v>
      </c>
      <c r="P615" s="589" t="s">
        <v>2534</v>
      </c>
      <c r="Q615" s="680">
        <v>336.67839999999967</v>
      </c>
      <c r="R615" s="696"/>
      <c r="S615" s="553"/>
      <c r="T615" s="553"/>
      <c r="U615" s="553"/>
      <c r="V615" s="553"/>
      <c r="W615" s="553"/>
      <c r="X615" s="553"/>
      <c r="Y615" s="553"/>
      <c r="Z615" s="553"/>
      <c r="AA615" s="553"/>
      <c r="AB615" s="554"/>
      <c r="AC615" s="555"/>
      <c r="AD615" s="556"/>
      <c r="AE615" s="556"/>
      <c r="AF615" s="556"/>
      <c r="AG615" s="556"/>
    </row>
    <row r="616" spans="1:33">
      <c r="A616" s="585">
        <v>602</v>
      </c>
      <c r="B616" s="587" t="s">
        <v>2900</v>
      </c>
      <c r="C616" s="585">
        <v>602</v>
      </c>
      <c r="D616" s="629" t="s">
        <v>2313</v>
      </c>
      <c r="E616" s="586" t="s">
        <v>377</v>
      </c>
      <c r="F616" s="675">
        <v>5.0578399999999996E-2</v>
      </c>
      <c r="G616" s="676">
        <v>3463.0023344000001</v>
      </c>
      <c r="H616" s="588">
        <v>487.2</v>
      </c>
      <c r="I616" s="587" t="s">
        <v>601</v>
      </c>
      <c r="J616" s="585">
        <v>2</v>
      </c>
      <c r="K616" s="585" t="s">
        <v>886</v>
      </c>
      <c r="L616" s="678">
        <v>348</v>
      </c>
      <c r="M616" s="649" t="s">
        <v>2533</v>
      </c>
      <c r="N616" s="679">
        <v>121.62599999999989</v>
      </c>
      <c r="O616" s="679">
        <v>243.24040000000008</v>
      </c>
      <c r="P616" s="589" t="s">
        <v>2534</v>
      </c>
      <c r="Q616" s="680">
        <v>336.67839999999967</v>
      </c>
      <c r="R616" s="696"/>
      <c r="S616" s="553"/>
      <c r="T616" s="553"/>
      <c r="U616" s="553"/>
      <c r="V616" s="553"/>
      <c r="W616" s="553"/>
      <c r="X616" s="553"/>
      <c r="Y616" s="553"/>
      <c r="Z616" s="553"/>
      <c r="AA616" s="553"/>
      <c r="AB616" s="554"/>
      <c r="AC616" s="555"/>
      <c r="AD616" s="556"/>
      <c r="AE616" s="556"/>
      <c r="AF616" s="556"/>
      <c r="AG616" s="556"/>
    </row>
    <row r="617" spans="1:33">
      <c r="A617" s="585">
        <v>603</v>
      </c>
      <c r="B617" s="587" t="s">
        <v>2901</v>
      </c>
      <c r="C617" s="585">
        <v>603</v>
      </c>
      <c r="D617" s="629" t="s">
        <v>2313</v>
      </c>
      <c r="E617" s="586" t="s">
        <v>378</v>
      </c>
      <c r="F617" s="675">
        <v>5.0578399999999996E-2</v>
      </c>
      <c r="G617" s="676">
        <v>3463.0023344000001</v>
      </c>
      <c r="H617" s="588">
        <v>487.2</v>
      </c>
      <c r="I617" s="587" t="s">
        <v>601</v>
      </c>
      <c r="J617" s="585">
        <v>2</v>
      </c>
      <c r="K617" s="585" t="s">
        <v>887</v>
      </c>
      <c r="L617" s="678">
        <v>348</v>
      </c>
      <c r="M617" s="649" t="s">
        <v>2533</v>
      </c>
      <c r="N617" s="679">
        <v>121.62599999999989</v>
      </c>
      <c r="O617" s="679">
        <v>243.24040000000008</v>
      </c>
      <c r="P617" s="589" t="s">
        <v>2534</v>
      </c>
      <c r="Q617" s="680">
        <v>336.67839999999967</v>
      </c>
      <c r="R617" s="696"/>
      <c r="S617" s="553"/>
      <c r="T617" s="553"/>
      <c r="U617" s="553"/>
      <c r="V617" s="553"/>
      <c r="W617" s="553"/>
      <c r="X617" s="553"/>
      <c r="Y617" s="553"/>
      <c r="Z617" s="553"/>
      <c r="AA617" s="553"/>
      <c r="AB617" s="554"/>
      <c r="AC617" s="555"/>
      <c r="AD617" s="556"/>
      <c r="AE617" s="556"/>
      <c r="AF617" s="556"/>
      <c r="AG617" s="556"/>
    </row>
    <row r="618" spans="1:33">
      <c r="A618" s="585">
        <v>604</v>
      </c>
      <c r="B618" s="587" t="s">
        <v>2902</v>
      </c>
      <c r="C618" s="585">
        <v>604</v>
      </c>
      <c r="D618" s="629" t="s">
        <v>2313</v>
      </c>
      <c r="E618" s="586" t="s">
        <v>379</v>
      </c>
      <c r="F618" s="675">
        <v>5.0578399999999996E-2</v>
      </c>
      <c r="G618" s="676">
        <v>3463.0023344000001</v>
      </c>
      <c r="H618" s="588">
        <v>487.2</v>
      </c>
      <c r="I618" s="587" t="s">
        <v>601</v>
      </c>
      <c r="J618" s="585">
        <v>2</v>
      </c>
      <c r="K618" s="585" t="s">
        <v>888</v>
      </c>
      <c r="L618" s="678">
        <v>348</v>
      </c>
      <c r="M618" s="649" t="s">
        <v>2533</v>
      </c>
      <c r="N618" s="679">
        <v>121.62599999999989</v>
      </c>
      <c r="O618" s="679">
        <v>243.24040000000008</v>
      </c>
      <c r="P618" s="589" t="s">
        <v>2534</v>
      </c>
      <c r="Q618" s="680">
        <v>336.67839999999967</v>
      </c>
      <c r="R618" s="696"/>
      <c r="S618" s="553"/>
      <c r="T618" s="553"/>
      <c r="U618" s="553"/>
      <c r="V618" s="553"/>
      <c r="W618" s="553"/>
      <c r="X618" s="553"/>
      <c r="Y618" s="553"/>
      <c r="Z618" s="553"/>
      <c r="AA618" s="553"/>
      <c r="AB618" s="554"/>
      <c r="AC618" s="555"/>
      <c r="AD618" s="556"/>
      <c r="AE618" s="556"/>
      <c r="AF618" s="556"/>
      <c r="AG618" s="556"/>
    </row>
    <row r="619" spans="1:33">
      <c r="A619" s="585">
        <v>605</v>
      </c>
      <c r="B619" s="587" t="s">
        <v>2903</v>
      </c>
      <c r="C619" s="585">
        <v>605</v>
      </c>
      <c r="D619" s="629" t="s">
        <v>2314</v>
      </c>
      <c r="E619" s="586" t="s">
        <v>380</v>
      </c>
      <c r="F619" s="675">
        <v>4.8639700000000001E-2</v>
      </c>
      <c r="G619" s="676">
        <v>3463.0023344000001</v>
      </c>
      <c r="H619" s="588">
        <v>487.2</v>
      </c>
      <c r="I619" s="587" t="s">
        <v>601</v>
      </c>
      <c r="J619" s="585">
        <v>2</v>
      </c>
      <c r="K619" s="585" t="s">
        <v>889</v>
      </c>
      <c r="L619" s="678">
        <v>348</v>
      </c>
      <c r="M619" s="649" t="s">
        <v>2533</v>
      </c>
      <c r="N619" s="679">
        <v>121.62599999999989</v>
      </c>
      <c r="O619" s="679">
        <v>243.24040000000008</v>
      </c>
      <c r="P619" s="589" t="s">
        <v>2534</v>
      </c>
      <c r="Q619" s="680">
        <v>336.67839999999967</v>
      </c>
      <c r="R619" s="696"/>
      <c r="S619" s="553"/>
      <c r="T619" s="553"/>
      <c r="U619" s="553"/>
      <c r="V619" s="553"/>
      <c r="W619" s="553"/>
      <c r="X619" s="553"/>
      <c r="Y619" s="553"/>
      <c r="Z619" s="553"/>
      <c r="AA619" s="553"/>
      <c r="AB619" s="554"/>
      <c r="AC619" s="555"/>
      <c r="AD619" s="556"/>
      <c r="AE619" s="556"/>
      <c r="AF619" s="556"/>
      <c r="AG619" s="556"/>
    </row>
    <row r="620" spans="1:33">
      <c r="A620" s="585">
        <v>606</v>
      </c>
      <c r="B620" s="587" t="s">
        <v>2904</v>
      </c>
      <c r="C620" s="585">
        <v>606</v>
      </c>
      <c r="D620" s="629" t="s">
        <v>2314</v>
      </c>
      <c r="E620" s="586" t="s">
        <v>381</v>
      </c>
      <c r="F620" s="675">
        <v>4.8639700000000001E-2</v>
      </c>
      <c r="G620" s="676">
        <v>3463.0023344000001</v>
      </c>
      <c r="H620" s="588">
        <v>487.2</v>
      </c>
      <c r="I620" s="587" t="s">
        <v>601</v>
      </c>
      <c r="J620" s="585">
        <v>2</v>
      </c>
      <c r="K620" s="585" t="s">
        <v>890</v>
      </c>
      <c r="L620" s="678">
        <v>348</v>
      </c>
      <c r="M620" s="649" t="s">
        <v>2533</v>
      </c>
      <c r="N620" s="679">
        <v>121.62599999999989</v>
      </c>
      <c r="O620" s="679">
        <v>243.24040000000008</v>
      </c>
      <c r="P620" s="589" t="s">
        <v>2534</v>
      </c>
      <c r="Q620" s="680">
        <v>336.67839999999967</v>
      </c>
      <c r="R620" s="696"/>
      <c r="S620" s="553"/>
      <c r="T620" s="553"/>
      <c r="U620" s="553"/>
      <c r="V620" s="553"/>
      <c r="W620" s="553"/>
      <c r="X620" s="553"/>
      <c r="Y620" s="553"/>
      <c r="Z620" s="553"/>
      <c r="AA620" s="553"/>
      <c r="AB620" s="554"/>
      <c r="AC620" s="555"/>
      <c r="AD620" s="556"/>
      <c r="AE620" s="556"/>
      <c r="AF620" s="556"/>
      <c r="AG620" s="556"/>
    </row>
    <row r="621" spans="1:33">
      <c r="A621" s="585">
        <v>607</v>
      </c>
      <c r="B621" s="587" t="s">
        <v>3609</v>
      </c>
      <c r="C621" s="585">
        <v>607</v>
      </c>
      <c r="D621" s="629" t="s">
        <v>3783</v>
      </c>
      <c r="E621" s="586" t="s">
        <v>3784</v>
      </c>
      <c r="F621" s="675">
        <v>3.1363000000000002E-2</v>
      </c>
      <c r="G621" s="676">
        <v>7453.37</v>
      </c>
      <c r="H621" s="588">
        <v>487.2</v>
      </c>
      <c r="I621" s="587" t="s">
        <v>3793</v>
      </c>
      <c r="J621" s="585">
        <v>3</v>
      </c>
      <c r="K621" s="585" t="s">
        <v>3697</v>
      </c>
      <c r="L621" s="678">
        <v>0</v>
      </c>
      <c r="M621" s="649" t="s">
        <v>2533</v>
      </c>
      <c r="N621" s="679">
        <v>298.14</v>
      </c>
      <c r="O621" s="679">
        <v>596.29</v>
      </c>
      <c r="P621" s="589" t="s">
        <v>2534</v>
      </c>
      <c r="Q621" s="680">
        <v>0</v>
      </c>
      <c r="R621" s="696"/>
      <c r="S621" s="553"/>
      <c r="T621" s="553"/>
      <c r="U621" s="553"/>
      <c r="V621" s="553"/>
      <c r="W621" s="553"/>
      <c r="X621" s="553"/>
      <c r="Y621" s="553"/>
      <c r="Z621" s="553"/>
      <c r="AA621" s="553"/>
      <c r="AB621" s="554"/>
      <c r="AC621" s="555"/>
      <c r="AD621" s="556"/>
      <c r="AE621" s="556"/>
      <c r="AF621" s="556"/>
      <c r="AG621" s="556"/>
    </row>
    <row r="622" spans="1:33">
      <c r="A622" s="585">
        <v>608</v>
      </c>
      <c r="B622" s="587" t="s">
        <v>2905</v>
      </c>
      <c r="C622" s="585">
        <v>608</v>
      </c>
      <c r="D622" s="629" t="s">
        <v>2315</v>
      </c>
      <c r="E622" s="586" t="s">
        <v>382</v>
      </c>
      <c r="F622" s="675">
        <v>4.1417200000000001E-2</v>
      </c>
      <c r="G622" s="676">
        <v>2538.48</v>
      </c>
      <c r="H622" s="588">
        <v>487.2</v>
      </c>
      <c r="I622" s="587" t="s">
        <v>549</v>
      </c>
      <c r="J622" s="585">
        <v>1</v>
      </c>
      <c r="K622" s="585" t="s">
        <v>891</v>
      </c>
      <c r="L622" s="678">
        <v>348</v>
      </c>
      <c r="M622" s="649" t="s">
        <v>2533</v>
      </c>
      <c r="N622" s="679">
        <v>67.071199999999919</v>
      </c>
      <c r="O622" s="679">
        <v>134.15400000000011</v>
      </c>
      <c r="P622" s="589" t="s">
        <v>2534</v>
      </c>
      <c r="Q622" s="680">
        <v>336.67839999999967</v>
      </c>
      <c r="R622" s="696"/>
      <c r="S622" s="553"/>
      <c r="T622" s="553"/>
      <c r="U622" s="553"/>
      <c r="V622" s="553"/>
      <c r="W622" s="553"/>
      <c r="X622" s="553"/>
      <c r="Y622" s="553"/>
      <c r="Z622" s="553"/>
      <c r="AA622" s="553"/>
      <c r="AB622" s="554"/>
      <c r="AC622" s="555"/>
      <c r="AD622" s="556"/>
      <c r="AE622" s="556"/>
      <c r="AF622" s="556"/>
      <c r="AG622" s="556"/>
    </row>
    <row r="623" spans="1:33">
      <c r="A623" s="585">
        <v>609</v>
      </c>
      <c r="B623" s="587" t="s">
        <v>2906</v>
      </c>
      <c r="C623" s="585">
        <v>609</v>
      </c>
      <c r="D623" s="629" t="s">
        <v>2315</v>
      </c>
      <c r="E623" s="586" t="s">
        <v>383</v>
      </c>
      <c r="F623" s="675">
        <v>4.1025699999999998E-2</v>
      </c>
      <c r="G623" s="676">
        <v>2538.48</v>
      </c>
      <c r="H623" s="588">
        <v>487.2</v>
      </c>
      <c r="I623" s="587" t="s">
        <v>549</v>
      </c>
      <c r="J623" s="585">
        <v>1</v>
      </c>
      <c r="K623" s="585" t="s">
        <v>892</v>
      </c>
      <c r="L623" s="678">
        <v>348</v>
      </c>
      <c r="M623" s="649" t="s">
        <v>2533</v>
      </c>
      <c r="N623" s="679">
        <v>67.071199999999919</v>
      </c>
      <c r="O623" s="679">
        <v>134.15400000000011</v>
      </c>
      <c r="P623" s="589" t="s">
        <v>2534</v>
      </c>
      <c r="Q623" s="680">
        <v>336.67839999999967</v>
      </c>
      <c r="R623" s="696"/>
      <c r="S623" s="553"/>
      <c r="T623" s="553"/>
      <c r="U623" s="553"/>
      <c r="V623" s="553"/>
      <c r="W623" s="553"/>
      <c r="X623" s="553"/>
      <c r="Y623" s="553"/>
      <c r="Z623" s="553"/>
      <c r="AA623" s="553"/>
      <c r="AB623" s="554"/>
      <c r="AC623" s="555"/>
      <c r="AD623" s="556"/>
      <c r="AE623" s="556"/>
      <c r="AF623" s="556"/>
      <c r="AG623" s="556"/>
    </row>
    <row r="624" spans="1:33">
      <c r="A624" s="585">
        <v>610</v>
      </c>
      <c r="B624" s="587" t="s">
        <v>2907</v>
      </c>
      <c r="C624" s="585">
        <v>610</v>
      </c>
      <c r="D624" s="629" t="s">
        <v>2315</v>
      </c>
      <c r="E624" s="586" t="s">
        <v>384</v>
      </c>
      <c r="F624" s="675">
        <v>2.80865E-2</v>
      </c>
      <c r="G624" s="676">
        <v>2538.48</v>
      </c>
      <c r="H624" s="588">
        <v>487.2</v>
      </c>
      <c r="I624" s="587" t="s">
        <v>549</v>
      </c>
      <c r="J624" s="585">
        <v>1</v>
      </c>
      <c r="K624" s="585" t="s">
        <v>893</v>
      </c>
      <c r="L624" s="678">
        <v>348</v>
      </c>
      <c r="M624" s="649" t="s">
        <v>2533</v>
      </c>
      <c r="N624" s="679">
        <v>67.071199999999919</v>
      </c>
      <c r="O624" s="679">
        <v>134.15400000000011</v>
      </c>
      <c r="P624" s="589" t="s">
        <v>2534</v>
      </c>
      <c r="Q624" s="680">
        <v>336.67839999999967</v>
      </c>
      <c r="R624" s="696"/>
      <c r="S624" s="553"/>
      <c r="T624" s="553"/>
      <c r="U624" s="553"/>
      <c r="V624" s="553"/>
      <c r="W624" s="553"/>
      <c r="X624" s="553"/>
      <c r="Y624" s="553"/>
      <c r="Z624" s="553"/>
      <c r="AA624" s="553"/>
      <c r="AB624" s="554"/>
      <c r="AC624" s="555"/>
      <c r="AD624" s="556"/>
      <c r="AE624" s="556"/>
      <c r="AF624" s="556"/>
      <c r="AG624" s="556"/>
    </row>
    <row r="625" spans="1:33">
      <c r="A625" s="585">
        <v>611</v>
      </c>
      <c r="B625" s="587" t="s">
        <v>5066</v>
      </c>
      <c r="C625" s="585">
        <v>611</v>
      </c>
      <c r="D625" s="629" t="s">
        <v>2315</v>
      </c>
      <c r="E625" s="586" t="s">
        <v>5071</v>
      </c>
      <c r="F625" s="675">
        <v>2.80865E-2</v>
      </c>
      <c r="G625" s="676">
        <v>2538.48</v>
      </c>
      <c r="H625" s="588">
        <v>487.2</v>
      </c>
      <c r="I625" s="587" t="s">
        <v>549</v>
      </c>
      <c r="J625" s="585">
        <v>1</v>
      </c>
      <c r="K625" s="585" t="s">
        <v>4576</v>
      </c>
      <c r="L625" s="678">
        <v>348</v>
      </c>
      <c r="M625" s="649" t="s">
        <v>2533</v>
      </c>
      <c r="N625" s="679">
        <v>67.071199999999919</v>
      </c>
      <c r="O625" s="679">
        <v>134.15400000000011</v>
      </c>
      <c r="P625" s="589" t="s">
        <v>2534</v>
      </c>
      <c r="Q625" s="680">
        <v>336.67839999999967</v>
      </c>
      <c r="R625" s="696"/>
      <c r="S625" s="553"/>
      <c r="T625" s="553"/>
      <c r="U625" s="553"/>
      <c r="V625" s="553"/>
      <c r="W625" s="553"/>
      <c r="X625" s="553"/>
      <c r="Y625" s="553"/>
      <c r="Z625" s="553"/>
      <c r="AA625" s="553"/>
      <c r="AB625" s="554"/>
      <c r="AC625" s="555"/>
      <c r="AD625" s="556"/>
      <c r="AE625" s="556"/>
      <c r="AF625" s="556"/>
      <c r="AG625" s="556"/>
    </row>
    <row r="626" spans="1:33">
      <c r="A626" s="585">
        <v>612</v>
      </c>
      <c r="B626" s="587" t="s">
        <v>2908</v>
      </c>
      <c r="C626" s="585">
        <v>612</v>
      </c>
      <c r="D626" s="629" t="s">
        <v>2315</v>
      </c>
      <c r="E626" s="586" t="s">
        <v>385</v>
      </c>
      <c r="F626" s="675">
        <v>3.0901499999999998E-2</v>
      </c>
      <c r="G626" s="676">
        <v>2538.48</v>
      </c>
      <c r="H626" s="588">
        <v>487.2</v>
      </c>
      <c r="I626" s="587" t="s">
        <v>549</v>
      </c>
      <c r="J626" s="585">
        <v>1</v>
      </c>
      <c r="K626" s="585" t="s">
        <v>894</v>
      </c>
      <c r="L626" s="678">
        <v>348</v>
      </c>
      <c r="M626" s="649" t="s">
        <v>2533</v>
      </c>
      <c r="N626" s="679">
        <v>67.071199999999919</v>
      </c>
      <c r="O626" s="679">
        <v>134.15400000000011</v>
      </c>
      <c r="P626" s="589" t="s">
        <v>2534</v>
      </c>
      <c r="Q626" s="680">
        <v>336.67839999999967</v>
      </c>
      <c r="R626" s="696"/>
      <c r="S626" s="553"/>
      <c r="T626" s="553"/>
      <c r="U626" s="553"/>
      <c r="V626" s="553"/>
      <c r="W626" s="553"/>
      <c r="X626" s="553"/>
      <c r="Y626" s="553"/>
      <c r="Z626" s="553"/>
      <c r="AA626" s="553"/>
      <c r="AB626" s="554"/>
      <c r="AC626" s="555"/>
      <c r="AD626" s="556"/>
      <c r="AE626" s="556"/>
      <c r="AF626" s="556"/>
      <c r="AG626" s="556"/>
    </row>
    <row r="627" spans="1:33">
      <c r="A627" s="585">
        <v>613</v>
      </c>
      <c r="B627" s="587" t="s">
        <v>2909</v>
      </c>
      <c r="C627" s="585">
        <v>613</v>
      </c>
      <c r="D627" s="629" t="s">
        <v>2315</v>
      </c>
      <c r="E627" s="586" t="s">
        <v>386</v>
      </c>
      <c r="F627" s="675">
        <v>4.1417200000000001E-2</v>
      </c>
      <c r="G627" s="676">
        <v>2538.48</v>
      </c>
      <c r="H627" s="588">
        <v>487.2</v>
      </c>
      <c r="I627" s="587" t="s">
        <v>549</v>
      </c>
      <c r="J627" s="585">
        <v>1</v>
      </c>
      <c r="K627" s="585" t="s">
        <v>895</v>
      </c>
      <c r="L627" s="678">
        <v>348</v>
      </c>
      <c r="M627" s="649" t="s">
        <v>2533</v>
      </c>
      <c r="N627" s="679">
        <v>67.071199999999919</v>
      </c>
      <c r="O627" s="679">
        <v>134.15400000000011</v>
      </c>
      <c r="P627" s="589" t="s">
        <v>2534</v>
      </c>
      <c r="Q627" s="680">
        <v>336.67839999999967</v>
      </c>
      <c r="R627" s="696"/>
      <c r="S627" s="553"/>
      <c r="T627" s="553"/>
      <c r="U627" s="553"/>
      <c r="V627" s="553"/>
      <c r="W627" s="553"/>
      <c r="X627" s="553"/>
      <c r="Y627" s="553"/>
      <c r="Z627" s="553"/>
      <c r="AA627" s="553"/>
      <c r="AB627" s="554"/>
      <c r="AC627" s="555"/>
      <c r="AD627" s="556"/>
      <c r="AE627" s="556"/>
      <c r="AF627" s="556"/>
      <c r="AG627" s="556"/>
    </row>
    <row r="628" spans="1:33">
      <c r="A628" s="585">
        <v>614</v>
      </c>
      <c r="B628" s="587" t="s">
        <v>3356</v>
      </c>
      <c r="C628" s="585">
        <v>614</v>
      </c>
      <c r="D628" s="629" t="s">
        <v>2315</v>
      </c>
      <c r="E628" s="586" t="s">
        <v>3365</v>
      </c>
      <c r="F628" s="675">
        <v>4.0538199999999996E-2</v>
      </c>
      <c r="G628" s="676">
        <v>2538.48</v>
      </c>
      <c r="H628" s="588">
        <v>487.2</v>
      </c>
      <c r="I628" s="587" t="s">
        <v>549</v>
      </c>
      <c r="J628" s="585">
        <v>1</v>
      </c>
      <c r="K628" s="585" t="s">
        <v>3378</v>
      </c>
      <c r="L628" s="678">
        <v>348</v>
      </c>
      <c r="M628" s="649" t="s">
        <v>2533</v>
      </c>
      <c r="N628" s="679">
        <v>67.071199999999919</v>
      </c>
      <c r="O628" s="679">
        <v>134.15400000000011</v>
      </c>
      <c r="P628" s="589" t="s">
        <v>2534</v>
      </c>
      <c r="Q628" s="680">
        <v>336.67839999999967</v>
      </c>
      <c r="R628" s="696"/>
      <c r="S628" s="553"/>
      <c r="T628" s="553"/>
      <c r="U628" s="553"/>
      <c r="V628" s="553"/>
      <c r="W628" s="553"/>
      <c r="X628" s="553"/>
      <c r="Y628" s="553"/>
      <c r="Z628" s="553"/>
      <c r="AA628" s="553"/>
      <c r="AB628" s="554"/>
      <c r="AC628" s="555"/>
      <c r="AD628" s="556"/>
      <c r="AE628" s="556"/>
      <c r="AF628" s="556"/>
      <c r="AG628" s="556"/>
    </row>
    <row r="629" spans="1:33">
      <c r="A629" s="585">
        <v>615</v>
      </c>
      <c r="B629" s="587" t="s">
        <v>5140</v>
      </c>
      <c r="C629" s="585">
        <v>615</v>
      </c>
      <c r="D629" s="629" t="s">
        <v>2316</v>
      </c>
      <c r="E629" s="586" t="s">
        <v>5152</v>
      </c>
      <c r="F629" s="675">
        <v>4.1989699999999998E-2</v>
      </c>
      <c r="G629" s="676">
        <v>2538.48</v>
      </c>
      <c r="H629" s="588">
        <v>487.2</v>
      </c>
      <c r="I629" s="587" t="s">
        <v>549</v>
      </c>
      <c r="J629" s="585">
        <v>1</v>
      </c>
      <c r="K629" s="585" t="s">
        <v>5164</v>
      </c>
      <c r="L629" s="678">
        <v>348</v>
      </c>
      <c r="M629" s="649" t="s">
        <v>2533</v>
      </c>
      <c r="N629" s="679">
        <v>67.071199999999919</v>
      </c>
      <c r="O629" s="679">
        <v>134.15399999999983</v>
      </c>
      <c r="P629" s="589" t="s">
        <v>2534</v>
      </c>
      <c r="Q629" s="680">
        <v>336.67839999999967</v>
      </c>
      <c r="R629" s="696"/>
      <c r="S629" s="553"/>
      <c r="T629" s="553"/>
      <c r="U629" s="553"/>
      <c r="V629" s="553"/>
      <c r="W629" s="553"/>
      <c r="X629" s="553"/>
      <c r="Y629" s="553"/>
      <c r="Z629" s="553"/>
      <c r="AA629" s="553"/>
      <c r="AB629" s="554"/>
      <c r="AC629" s="555"/>
      <c r="AD629" s="556"/>
      <c r="AE629" s="556"/>
      <c r="AF629" s="556"/>
      <c r="AG629" s="556"/>
    </row>
    <row r="630" spans="1:33">
      <c r="A630" s="585">
        <v>616</v>
      </c>
      <c r="B630" s="587" t="s">
        <v>2910</v>
      </c>
      <c r="C630" s="585">
        <v>616</v>
      </c>
      <c r="D630" s="629" t="s">
        <v>2316</v>
      </c>
      <c r="E630" s="586" t="s">
        <v>387</v>
      </c>
      <c r="F630" s="675">
        <v>4.30655E-2</v>
      </c>
      <c r="G630" s="676">
        <v>2538.48</v>
      </c>
      <c r="H630" s="588">
        <v>487.2</v>
      </c>
      <c r="I630" s="587" t="s">
        <v>549</v>
      </c>
      <c r="J630" s="585">
        <v>1</v>
      </c>
      <c r="K630" s="585" t="s">
        <v>896</v>
      </c>
      <c r="L630" s="678">
        <v>348</v>
      </c>
      <c r="M630" s="649" t="s">
        <v>2533</v>
      </c>
      <c r="N630" s="679">
        <v>67.071199999999919</v>
      </c>
      <c r="O630" s="679">
        <v>134.15400000000011</v>
      </c>
      <c r="P630" s="589" t="s">
        <v>2534</v>
      </c>
      <c r="Q630" s="680">
        <v>336.67839999999967</v>
      </c>
      <c r="R630" s="696"/>
      <c r="S630" s="553"/>
      <c r="T630" s="553"/>
      <c r="U630" s="553"/>
      <c r="V630" s="553"/>
      <c r="W630" s="553"/>
      <c r="X630" s="553"/>
      <c r="Y630" s="553"/>
      <c r="Z630" s="553"/>
      <c r="AA630" s="553"/>
      <c r="AB630" s="554"/>
      <c r="AC630" s="555"/>
      <c r="AD630" s="556"/>
      <c r="AE630" s="556"/>
      <c r="AF630" s="556"/>
      <c r="AG630" s="556"/>
    </row>
    <row r="631" spans="1:33">
      <c r="A631" s="585">
        <v>617</v>
      </c>
      <c r="B631" s="587" t="s">
        <v>2911</v>
      </c>
      <c r="C631" s="585">
        <v>617</v>
      </c>
      <c r="D631" s="629" t="s">
        <v>2316</v>
      </c>
      <c r="E631" s="586" t="s">
        <v>388</v>
      </c>
      <c r="F631" s="675">
        <v>3.5734399999999999E-2</v>
      </c>
      <c r="G631" s="676">
        <v>2538.48</v>
      </c>
      <c r="H631" s="588">
        <v>487.2</v>
      </c>
      <c r="I631" s="587" t="s">
        <v>549</v>
      </c>
      <c r="J631" s="585">
        <v>1</v>
      </c>
      <c r="K631" s="585" t="s">
        <v>897</v>
      </c>
      <c r="L631" s="678">
        <v>348</v>
      </c>
      <c r="M631" s="649" t="s">
        <v>2533</v>
      </c>
      <c r="N631" s="679">
        <v>67.071199999999919</v>
      </c>
      <c r="O631" s="679">
        <v>134.15400000000011</v>
      </c>
      <c r="P631" s="589" t="s">
        <v>2534</v>
      </c>
      <c r="Q631" s="680">
        <v>336.67839999999967</v>
      </c>
      <c r="R631" s="696"/>
      <c r="S631" s="553"/>
      <c r="T631" s="553"/>
      <c r="U631" s="553"/>
      <c r="V631" s="553"/>
      <c r="W631" s="553"/>
      <c r="X631" s="553"/>
      <c r="Y631" s="553"/>
      <c r="Z631" s="553"/>
      <c r="AA631" s="553"/>
      <c r="AB631" s="554"/>
      <c r="AC631" s="555"/>
      <c r="AD631" s="556"/>
      <c r="AE631" s="556"/>
      <c r="AF631" s="556"/>
      <c r="AG631" s="556"/>
    </row>
    <row r="632" spans="1:33">
      <c r="A632" s="585">
        <v>618</v>
      </c>
      <c r="B632" s="587" t="s">
        <v>3473</v>
      </c>
      <c r="C632" s="585">
        <v>618</v>
      </c>
      <c r="D632" s="629" t="s">
        <v>2316</v>
      </c>
      <c r="E632" s="586" t="s">
        <v>3474</v>
      </c>
      <c r="F632" s="675">
        <v>4.2898100000000002E-2</v>
      </c>
      <c r="G632" s="676">
        <v>2538.48</v>
      </c>
      <c r="H632" s="588">
        <v>487.2</v>
      </c>
      <c r="I632" s="587" t="s">
        <v>549</v>
      </c>
      <c r="J632" s="585">
        <v>1</v>
      </c>
      <c r="K632" s="585" t="s">
        <v>3484</v>
      </c>
      <c r="L632" s="678">
        <v>348</v>
      </c>
      <c r="M632" s="649" t="s">
        <v>2533</v>
      </c>
      <c r="N632" s="679">
        <v>67.071199999999919</v>
      </c>
      <c r="O632" s="679">
        <v>134.15400000000011</v>
      </c>
      <c r="P632" s="589" t="s">
        <v>2534</v>
      </c>
      <c r="Q632" s="680">
        <v>336.67839999999967</v>
      </c>
      <c r="R632" s="696"/>
      <c r="S632" s="553"/>
      <c r="T632" s="553"/>
      <c r="U632" s="553"/>
      <c r="V632" s="553"/>
      <c r="W632" s="553"/>
      <c r="X632" s="553"/>
      <c r="Y632" s="553"/>
      <c r="Z632" s="553"/>
      <c r="AA632" s="553"/>
      <c r="AB632" s="554"/>
      <c r="AC632" s="555"/>
      <c r="AD632" s="556"/>
      <c r="AE632" s="556"/>
      <c r="AF632" s="556"/>
      <c r="AG632" s="556"/>
    </row>
    <row r="633" spans="1:33">
      <c r="A633" s="585">
        <v>619</v>
      </c>
      <c r="B633" s="587" t="s">
        <v>2912</v>
      </c>
      <c r="C633" s="585">
        <v>619</v>
      </c>
      <c r="D633" s="629" t="s">
        <v>2316</v>
      </c>
      <c r="E633" s="586" t="s">
        <v>389</v>
      </c>
      <c r="F633" s="675">
        <v>3.6913599999999998E-2</v>
      </c>
      <c r="G633" s="676">
        <v>2538.48</v>
      </c>
      <c r="H633" s="588">
        <v>487.2</v>
      </c>
      <c r="I633" s="587" t="s">
        <v>549</v>
      </c>
      <c r="J633" s="585">
        <v>1</v>
      </c>
      <c r="K633" s="585" t="s">
        <v>898</v>
      </c>
      <c r="L633" s="678">
        <v>348</v>
      </c>
      <c r="M633" s="649" t="s">
        <v>2533</v>
      </c>
      <c r="N633" s="679">
        <v>67.071199999999919</v>
      </c>
      <c r="O633" s="679">
        <v>134.15400000000011</v>
      </c>
      <c r="P633" s="589" t="s">
        <v>2534</v>
      </c>
      <c r="Q633" s="680">
        <v>336.67839999999967</v>
      </c>
      <c r="R633" s="696"/>
      <c r="S633" s="553"/>
      <c r="T633" s="553"/>
      <c r="U633" s="553"/>
      <c r="V633" s="553"/>
      <c r="W633" s="553"/>
      <c r="X633" s="553"/>
      <c r="Y633" s="553"/>
      <c r="Z633" s="553"/>
      <c r="AA633" s="553"/>
      <c r="AB633" s="554"/>
      <c r="AC633" s="555"/>
      <c r="AD633" s="556"/>
      <c r="AE633" s="556"/>
      <c r="AF633" s="556"/>
      <c r="AG633" s="556"/>
    </row>
    <row r="634" spans="1:33">
      <c r="A634" s="585">
        <v>620</v>
      </c>
      <c r="B634" s="587" t="s">
        <v>2913</v>
      </c>
      <c r="C634" s="585">
        <v>620</v>
      </c>
      <c r="D634" s="629" t="s">
        <v>2316</v>
      </c>
      <c r="E634" s="586" t="s">
        <v>390</v>
      </c>
      <c r="F634" s="675">
        <v>3.84093E-2</v>
      </c>
      <c r="G634" s="676">
        <v>2538.48</v>
      </c>
      <c r="H634" s="588">
        <v>487.2</v>
      </c>
      <c r="I634" s="587" t="s">
        <v>549</v>
      </c>
      <c r="J634" s="585">
        <v>1</v>
      </c>
      <c r="K634" s="585" t="s">
        <v>899</v>
      </c>
      <c r="L634" s="678">
        <v>348</v>
      </c>
      <c r="M634" s="649" t="s">
        <v>2533</v>
      </c>
      <c r="N634" s="679">
        <v>67.071199999999919</v>
      </c>
      <c r="O634" s="679">
        <v>134.15400000000011</v>
      </c>
      <c r="P634" s="589" t="s">
        <v>2534</v>
      </c>
      <c r="Q634" s="680">
        <v>336.67839999999967</v>
      </c>
      <c r="R634" s="696"/>
      <c r="S634" s="553"/>
      <c r="T634" s="553"/>
      <c r="U634" s="553"/>
      <c r="V634" s="553"/>
      <c r="W634" s="553"/>
      <c r="X634" s="553"/>
      <c r="Y634" s="553"/>
      <c r="Z634" s="553"/>
      <c r="AA634" s="553"/>
      <c r="AB634" s="554"/>
      <c r="AC634" s="555"/>
      <c r="AD634" s="556"/>
      <c r="AE634" s="556"/>
      <c r="AF634" s="556"/>
      <c r="AG634" s="556"/>
    </row>
    <row r="635" spans="1:33">
      <c r="A635" s="585">
        <v>621</v>
      </c>
      <c r="B635" s="587" t="s">
        <v>2914</v>
      </c>
      <c r="C635" s="585">
        <v>621</v>
      </c>
      <c r="D635" s="629" t="s">
        <v>2316</v>
      </c>
      <c r="E635" s="586" t="s">
        <v>391</v>
      </c>
      <c r="F635" s="675">
        <v>4.8255299999999994E-2</v>
      </c>
      <c r="G635" s="676">
        <v>2538.48</v>
      </c>
      <c r="H635" s="588">
        <v>487.2</v>
      </c>
      <c r="I635" s="587" t="s">
        <v>549</v>
      </c>
      <c r="J635" s="585">
        <v>1</v>
      </c>
      <c r="K635" s="585" t="s">
        <v>900</v>
      </c>
      <c r="L635" s="678">
        <v>348</v>
      </c>
      <c r="M635" s="649" t="s">
        <v>2533</v>
      </c>
      <c r="N635" s="679">
        <v>67.071199999999919</v>
      </c>
      <c r="O635" s="679">
        <v>134.15400000000011</v>
      </c>
      <c r="P635" s="589" t="s">
        <v>2534</v>
      </c>
      <c r="Q635" s="680">
        <v>336.67839999999967</v>
      </c>
      <c r="R635" s="696"/>
      <c r="S635" s="553"/>
      <c r="T635" s="553"/>
      <c r="U635" s="553"/>
      <c r="V635" s="553"/>
      <c r="W635" s="553"/>
      <c r="X635" s="553"/>
      <c r="Y635" s="553"/>
      <c r="Z635" s="553"/>
      <c r="AA635" s="553"/>
      <c r="AB635" s="554"/>
      <c r="AC635" s="555"/>
      <c r="AD635" s="556"/>
      <c r="AE635" s="556"/>
      <c r="AF635" s="556"/>
      <c r="AG635" s="556"/>
    </row>
    <row r="636" spans="1:33">
      <c r="A636" s="585">
        <v>622</v>
      </c>
      <c r="B636" s="587" t="s">
        <v>2915</v>
      </c>
      <c r="C636" s="585">
        <v>622</v>
      </c>
      <c r="D636" s="629" t="s">
        <v>2317</v>
      </c>
      <c r="E636" s="586" t="s">
        <v>392</v>
      </c>
      <c r="F636" s="675">
        <v>3.8490500000000004E-2</v>
      </c>
      <c r="G636" s="676">
        <v>2538.48</v>
      </c>
      <c r="H636" s="588">
        <v>487.2</v>
      </c>
      <c r="I636" s="587" t="s">
        <v>549</v>
      </c>
      <c r="J636" s="585">
        <v>1</v>
      </c>
      <c r="K636" s="585" t="s">
        <v>901</v>
      </c>
      <c r="L636" s="678">
        <v>348</v>
      </c>
      <c r="M636" s="649" t="s">
        <v>2533</v>
      </c>
      <c r="N636" s="679">
        <v>67.071199999999919</v>
      </c>
      <c r="O636" s="679">
        <v>134.15400000000011</v>
      </c>
      <c r="P636" s="589" t="s">
        <v>2534</v>
      </c>
      <c r="Q636" s="680">
        <v>336.67839999999967</v>
      </c>
      <c r="R636" s="696"/>
      <c r="S636" s="553"/>
      <c r="T636" s="553"/>
      <c r="U636" s="553"/>
      <c r="V636" s="553"/>
      <c r="W636" s="553"/>
      <c r="X636" s="553"/>
      <c r="Y636" s="553"/>
      <c r="Z636" s="553"/>
      <c r="AA636" s="553"/>
      <c r="AB636" s="554"/>
      <c r="AC636" s="555"/>
      <c r="AD636" s="556"/>
      <c r="AE636" s="556"/>
      <c r="AF636" s="556"/>
      <c r="AG636" s="556"/>
    </row>
    <row r="637" spans="1:33">
      <c r="A637" s="585">
        <v>623</v>
      </c>
      <c r="B637" s="587" t="s">
        <v>2916</v>
      </c>
      <c r="C637" s="585">
        <v>623</v>
      </c>
      <c r="D637" s="629" t="s">
        <v>2317</v>
      </c>
      <c r="E637" s="586" t="s">
        <v>393</v>
      </c>
      <c r="F637" s="675">
        <v>3.4241600000000004E-2</v>
      </c>
      <c r="G637" s="676">
        <v>2538.48</v>
      </c>
      <c r="H637" s="588">
        <v>487.2</v>
      </c>
      <c r="I637" s="587" t="s">
        <v>549</v>
      </c>
      <c r="J637" s="585">
        <v>1</v>
      </c>
      <c r="K637" s="585" t="s">
        <v>902</v>
      </c>
      <c r="L637" s="678">
        <v>348</v>
      </c>
      <c r="M637" s="649" t="s">
        <v>2533</v>
      </c>
      <c r="N637" s="679">
        <v>67.071199999999919</v>
      </c>
      <c r="O637" s="679">
        <v>134.15400000000011</v>
      </c>
      <c r="P637" s="589" t="s">
        <v>2534</v>
      </c>
      <c r="Q637" s="680">
        <v>336.67839999999967</v>
      </c>
      <c r="R637" s="696"/>
      <c r="S637" s="553"/>
      <c r="T637" s="553"/>
      <c r="U637" s="553"/>
      <c r="V637" s="553"/>
      <c r="W637" s="553"/>
      <c r="X637" s="553"/>
      <c r="Y637" s="553"/>
      <c r="Z637" s="553"/>
      <c r="AA637" s="553"/>
      <c r="AB637" s="554"/>
      <c r="AC637" s="555"/>
      <c r="AD637" s="556"/>
      <c r="AE637" s="556"/>
      <c r="AF637" s="556"/>
      <c r="AG637" s="556"/>
    </row>
    <row r="638" spans="1:33">
      <c r="A638" s="585">
        <v>624</v>
      </c>
      <c r="B638" s="587" t="s">
        <v>2917</v>
      </c>
      <c r="C638" s="585">
        <v>624</v>
      </c>
      <c r="D638" s="629" t="s">
        <v>2317</v>
      </c>
      <c r="E638" s="586" t="s">
        <v>394</v>
      </c>
      <c r="F638" s="675">
        <v>3.06401E-2</v>
      </c>
      <c r="G638" s="676">
        <v>2538.48</v>
      </c>
      <c r="H638" s="588">
        <v>487.2</v>
      </c>
      <c r="I638" s="587" t="s">
        <v>549</v>
      </c>
      <c r="J638" s="585">
        <v>1</v>
      </c>
      <c r="K638" s="585" t="s">
        <v>903</v>
      </c>
      <c r="L638" s="678">
        <v>348</v>
      </c>
      <c r="M638" s="649" t="s">
        <v>2533</v>
      </c>
      <c r="N638" s="679">
        <v>67.071199999999919</v>
      </c>
      <c r="O638" s="679">
        <v>134.15400000000011</v>
      </c>
      <c r="P638" s="589" t="s">
        <v>2534</v>
      </c>
      <c r="Q638" s="680">
        <v>336.67839999999967</v>
      </c>
      <c r="R638" s="696"/>
      <c r="S638" s="553"/>
      <c r="T638" s="553"/>
      <c r="U638" s="553"/>
      <c r="V638" s="553"/>
      <c r="W638" s="553"/>
      <c r="X638" s="553"/>
      <c r="Y638" s="553"/>
      <c r="Z638" s="553"/>
      <c r="AA638" s="553"/>
      <c r="AB638" s="554"/>
      <c r="AC638" s="555"/>
      <c r="AD638" s="556"/>
      <c r="AE638" s="556"/>
      <c r="AF638" s="556"/>
      <c r="AG638" s="556"/>
    </row>
    <row r="639" spans="1:33">
      <c r="A639" s="585">
        <v>625</v>
      </c>
      <c r="B639" s="587" t="s">
        <v>2918</v>
      </c>
      <c r="C639" s="585">
        <v>625</v>
      </c>
      <c r="D639" s="629" t="s">
        <v>2317</v>
      </c>
      <c r="E639" s="586" t="s">
        <v>395</v>
      </c>
      <c r="F639" s="675">
        <v>4.2279799999999999E-2</v>
      </c>
      <c r="G639" s="676">
        <v>2538.48</v>
      </c>
      <c r="H639" s="588">
        <v>487.2</v>
      </c>
      <c r="I639" s="587" t="s">
        <v>549</v>
      </c>
      <c r="J639" s="585">
        <v>1</v>
      </c>
      <c r="K639" s="585" t="s">
        <v>904</v>
      </c>
      <c r="L639" s="678">
        <v>348</v>
      </c>
      <c r="M639" s="649" t="s">
        <v>2533</v>
      </c>
      <c r="N639" s="679">
        <v>67.071199999999919</v>
      </c>
      <c r="O639" s="679">
        <v>134.15400000000011</v>
      </c>
      <c r="P639" s="589" t="s">
        <v>2534</v>
      </c>
      <c r="Q639" s="680">
        <v>336.67839999999967</v>
      </c>
      <c r="R639" s="696"/>
      <c r="S639" s="553"/>
      <c r="T639" s="553"/>
      <c r="U639" s="553"/>
      <c r="V639" s="553"/>
      <c r="W639" s="553"/>
      <c r="X639" s="553"/>
      <c r="Y639" s="553"/>
      <c r="Z639" s="553"/>
      <c r="AA639" s="553"/>
      <c r="AB639" s="554"/>
      <c r="AC639" s="555"/>
      <c r="AD639" s="556"/>
      <c r="AE639" s="556"/>
      <c r="AF639" s="556"/>
      <c r="AG639" s="556"/>
    </row>
    <row r="640" spans="1:33">
      <c r="A640" s="585">
        <v>626</v>
      </c>
      <c r="B640" s="587" t="s">
        <v>2919</v>
      </c>
      <c r="C640" s="585">
        <v>626</v>
      </c>
      <c r="D640" s="629" t="s">
        <v>2317</v>
      </c>
      <c r="E640" s="586" t="s">
        <v>396</v>
      </c>
      <c r="F640" s="675">
        <v>4.0758999999999997E-2</v>
      </c>
      <c r="G640" s="676">
        <v>2538.48</v>
      </c>
      <c r="H640" s="588">
        <v>487.2</v>
      </c>
      <c r="I640" s="587" t="s">
        <v>549</v>
      </c>
      <c r="J640" s="585">
        <v>1</v>
      </c>
      <c r="K640" s="585" t="s">
        <v>905</v>
      </c>
      <c r="L640" s="678">
        <v>348</v>
      </c>
      <c r="M640" s="649" t="s">
        <v>2533</v>
      </c>
      <c r="N640" s="679">
        <v>67.071199999999919</v>
      </c>
      <c r="O640" s="679">
        <v>134.15400000000011</v>
      </c>
      <c r="P640" s="589" t="s">
        <v>2534</v>
      </c>
      <c r="Q640" s="680">
        <v>336.67839999999967</v>
      </c>
      <c r="R640" s="696"/>
      <c r="S640" s="553"/>
      <c r="T640" s="553"/>
      <c r="U640" s="553"/>
      <c r="V640" s="553"/>
      <c r="W640" s="553"/>
      <c r="X640" s="553"/>
      <c r="Y640" s="553"/>
      <c r="Z640" s="553"/>
      <c r="AA640" s="553"/>
      <c r="AB640" s="554"/>
      <c r="AC640" s="555"/>
      <c r="AD640" s="556"/>
      <c r="AE640" s="556"/>
      <c r="AF640" s="556"/>
      <c r="AG640" s="556"/>
    </row>
    <row r="641" spans="1:33">
      <c r="A641" s="585">
        <v>627</v>
      </c>
      <c r="B641" s="587" t="s">
        <v>2920</v>
      </c>
      <c r="C641" s="585">
        <v>627</v>
      </c>
      <c r="D641" s="629" t="s">
        <v>2317</v>
      </c>
      <c r="E641" s="586" t="s">
        <v>397</v>
      </c>
      <c r="F641" s="675">
        <v>6.1468600000000005E-2</v>
      </c>
      <c r="G641" s="676">
        <v>3463.0023344000001</v>
      </c>
      <c r="H641" s="588">
        <v>487.2</v>
      </c>
      <c r="I641" s="587" t="s">
        <v>601</v>
      </c>
      <c r="J641" s="585">
        <v>2</v>
      </c>
      <c r="K641" s="585" t="s">
        <v>906</v>
      </c>
      <c r="L641" s="678">
        <v>348</v>
      </c>
      <c r="M641" s="649" t="s">
        <v>2533</v>
      </c>
      <c r="N641" s="679">
        <v>121.62599999999989</v>
      </c>
      <c r="O641" s="679">
        <v>243.24040000000008</v>
      </c>
      <c r="P641" s="589" t="s">
        <v>2534</v>
      </c>
      <c r="Q641" s="680">
        <v>336.67839999999967</v>
      </c>
      <c r="R641" s="696"/>
      <c r="S641" s="553"/>
      <c r="T641" s="553"/>
      <c r="U641" s="553"/>
      <c r="V641" s="553"/>
      <c r="W641" s="553"/>
      <c r="X641" s="553"/>
      <c r="Y641" s="553"/>
      <c r="Z641" s="553"/>
      <c r="AA641" s="553"/>
      <c r="AB641" s="554"/>
      <c r="AC641" s="555"/>
      <c r="AD641" s="556"/>
      <c r="AE641" s="556"/>
      <c r="AF641" s="556"/>
      <c r="AG641" s="556"/>
    </row>
    <row r="642" spans="1:33">
      <c r="A642" s="585">
        <v>628</v>
      </c>
      <c r="B642" s="587" t="s">
        <v>2921</v>
      </c>
      <c r="C642" s="585">
        <v>628</v>
      </c>
      <c r="D642" s="629" t="s">
        <v>2317</v>
      </c>
      <c r="E642" s="586" t="s">
        <v>398</v>
      </c>
      <c r="F642" s="675">
        <v>4.0962600000000002E-2</v>
      </c>
      <c r="G642" s="676">
        <v>2538.48</v>
      </c>
      <c r="H642" s="588">
        <v>487.2</v>
      </c>
      <c r="I642" s="587" t="s">
        <v>549</v>
      </c>
      <c r="J642" s="585">
        <v>1</v>
      </c>
      <c r="K642" s="585" t="s">
        <v>907</v>
      </c>
      <c r="L642" s="678">
        <v>348</v>
      </c>
      <c r="M642" s="649" t="s">
        <v>2533</v>
      </c>
      <c r="N642" s="679">
        <v>67.071199999999919</v>
      </c>
      <c r="O642" s="679">
        <v>134.15400000000011</v>
      </c>
      <c r="P642" s="589" t="s">
        <v>2534</v>
      </c>
      <c r="Q642" s="680">
        <v>336.67839999999967</v>
      </c>
      <c r="R642" s="696"/>
      <c r="S642" s="553"/>
      <c r="T642" s="553"/>
      <c r="U642" s="553"/>
      <c r="V642" s="553"/>
      <c r="W642" s="553"/>
      <c r="X642" s="553"/>
      <c r="Y642" s="553"/>
      <c r="Z642" s="553"/>
      <c r="AA642" s="553"/>
      <c r="AB642" s="554"/>
      <c r="AC642" s="555"/>
      <c r="AD642" s="556"/>
      <c r="AE642" s="556"/>
      <c r="AF642" s="556"/>
      <c r="AG642" s="556"/>
    </row>
    <row r="643" spans="1:33">
      <c r="A643" s="585">
        <v>629</v>
      </c>
      <c r="B643" s="587" t="s">
        <v>2922</v>
      </c>
      <c r="C643" s="585">
        <v>629</v>
      </c>
      <c r="D643" s="629" t="s">
        <v>2317</v>
      </c>
      <c r="E643" s="586" t="s">
        <v>399</v>
      </c>
      <c r="F643" s="675">
        <v>4.0811E-2</v>
      </c>
      <c r="G643" s="676">
        <v>2538.48</v>
      </c>
      <c r="H643" s="588">
        <v>487.2</v>
      </c>
      <c r="I643" s="587" t="s">
        <v>549</v>
      </c>
      <c r="J643" s="585">
        <v>1</v>
      </c>
      <c r="K643" s="585" t="s">
        <v>908</v>
      </c>
      <c r="L643" s="678">
        <v>348</v>
      </c>
      <c r="M643" s="649" t="s">
        <v>2533</v>
      </c>
      <c r="N643" s="679">
        <v>67.071199999999919</v>
      </c>
      <c r="O643" s="679">
        <v>134.15400000000011</v>
      </c>
      <c r="P643" s="589" t="s">
        <v>2534</v>
      </c>
      <c r="Q643" s="680">
        <v>336.67839999999967</v>
      </c>
      <c r="R643" s="696"/>
      <c r="S643" s="553"/>
      <c r="T643" s="553"/>
      <c r="U643" s="553"/>
      <c r="V643" s="553"/>
      <c r="W643" s="553"/>
      <c r="X643" s="553"/>
      <c r="Y643" s="553"/>
      <c r="Z643" s="553"/>
      <c r="AA643" s="553"/>
      <c r="AB643" s="554"/>
      <c r="AC643" s="555"/>
      <c r="AD643" s="556"/>
      <c r="AE643" s="556"/>
      <c r="AF643" s="556"/>
      <c r="AG643" s="556"/>
    </row>
    <row r="644" spans="1:33">
      <c r="A644" s="585">
        <v>630</v>
      </c>
      <c r="B644" s="587" t="s">
        <v>2923</v>
      </c>
      <c r="C644" s="585">
        <v>630</v>
      </c>
      <c r="D644" s="629" t="s">
        <v>2317</v>
      </c>
      <c r="E644" s="586" t="s">
        <v>400</v>
      </c>
      <c r="F644" s="675">
        <v>5.1864600000000004E-2</v>
      </c>
      <c r="G644" s="676">
        <v>3463.0023344000001</v>
      </c>
      <c r="H644" s="588">
        <v>487.2</v>
      </c>
      <c r="I644" s="587" t="s">
        <v>601</v>
      </c>
      <c r="J644" s="585">
        <v>2</v>
      </c>
      <c r="K644" s="585" t="s">
        <v>909</v>
      </c>
      <c r="L644" s="678">
        <v>348</v>
      </c>
      <c r="M644" s="649" t="s">
        <v>2533</v>
      </c>
      <c r="N644" s="679">
        <v>121.62599999999989</v>
      </c>
      <c r="O644" s="679">
        <v>243.24040000000008</v>
      </c>
      <c r="P644" s="589" t="s">
        <v>2534</v>
      </c>
      <c r="Q644" s="680">
        <v>336.67839999999967</v>
      </c>
      <c r="R644" s="696"/>
      <c r="S644" s="553"/>
      <c r="T644" s="553"/>
      <c r="U644" s="553"/>
      <c r="V644" s="553"/>
      <c r="W644" s="553"/>
      <c r="X644" s="553"/>
      <c r="Y644" s="553"/>
      <c r="Z644" s="553"/>
      <c r="AA644" s="553"/>
      <c r="AB644" s="554"/>
      <c r="AC644" s="555"/>
      <c r="AD644" s="556"/>
      <c r="AE644" s="556"/>
      <c r="AF644" s="556"/>
      <c r="AG644" s="556"/>
    </row>
    <row r="645" spans="1:33">
      <c r="A645" s="585">
        <v>631</v>
      </c>
      <c r="B645" s="587" t="s">
        <v>3357</v>
      </c>
      <c r="C645" s="585">
        <v>631</v>
      </c>
      <c r="D645" s="629" t="s">
        <v>2317</v>
      </c>
      <c r="E645" s="586" t="s">
        <v>3368</v>
      </c>
      <c r="F645" s="675">
        <v>4.8639700000000001E-2</v>
      </c>
      <c r="G645" s="676">
        <v>3463.0023344000001</v>
      </c>
      <c r="H645" s="588">
        <v>487.2</v>
      </c>
      <c r="I645" s="587" t="s">
        <v>601</v>
      </c>
      <c r="J645" s="585">
        <v>2</v>
      </c>
      <c r="K645" s="585" t="s">
        <v>3379</v>
      </c>
      <c r="L645" s="678">
        <v>348</v>
      </c>
      <c r="M645" s="649" t="s">
        <v>2533</v>
      </c>
      <c r="N645" s="679">
        <v>121.62599999999989</v>
      </c>
      <c r="O645" s="679">
        <v>243.24040000000008</v>
      </c>
      <c r="P645" s="589" t="s">
        <v>2534</v>
      </c>
      <c r="Q645" s="680">
        <v>336.67839999999967</v>
      </c>
      <c r="R645" s="696"/>
      <c r="S645" s="553"/>
      <c r="T645" s="553"/>
      <c r="U645" s="553"/>
      <c r="V645" s="553"/>
      <c r="W645" s="553"/>
      <c r="X645" s="553"/>
      <c r="Y645" s="553"/>
      <c r="Z645" s="553"/>
      <c r="AA645" s="553"/>
      <c r="AB645" s="554"/>
      <c r="AC645" s="555"/>
      <c r="AD645" s="556"/>
      <c r="AE645" s="556"/>
      <c r="AF645" s="556"/>
      <c r="AG645" s="556"/>
    </row>
    <row r="646" spans="1:33">
      <c r="A646" s="585">
        <v>632</v>
      </c>
      <c r="B646" s="587" t="s">
        <v>2924</v>
      </c>
      <c r="C646" s="585">
        <v>632</v>
      </c>
      <c r="D646" s="629" t="s">
        <v>2317</v>
      </c>
      <c r="E646" s="586" t="s">
        <v>2492</v>
      </c>
      <c r="F646" s="675">
        <v>5.1864600000000004E-2</v>
      </c>
      <c r="G646" s="676">
        <v>3463.0023344000001</v>
      </c>
      <c r="H646" s="588">
        <v>487.2</v>
      </c>
      <c r="I646" s="587" t="s">
        <v>601</v>
      </c>
      <c r="J646" s="585">
        <v>2</v>
      </c>
      <c r="K646" s="585" t="s">
        <v>2493</v>
      </c>
      <c r="L646" s="678">
        <v>348</v>
      </c>
      <c r="M646" s="649" t="s">
        <v>2533</v>
      </c>
      <c r="N646" s="679">
        <v>121.62599999999989</v>
      </c>
      <c r="O646" s="679">
        <v>243.24040000000008</v>
      </c>
      <c r="P646" s="589" t="s">
        <v>2534</v>
      </c>
      <c r="Q646" s="680">
        <v>336.67839999999967</v>
      </c>
      <c r="R646" s="696"/>
      <c r="S646" s="553"/>
      <c r="T646" s="553"/>
      <c r="U646" s="553"/>
      <c r="V646" s="553"/>
      <c r="W646" s="553"/>
      <c r="X646" s="553"/>
      <c r="Y646" s="553"/>
      <c r="Z646" s="553"/>
      <c r="AA646" s="553"/>
      <c r="AB646" s="554"/>
      <c r="AC646" s="555"/>
      <c r="AD646" s="556"/>
      <c r="AE646" s="556"/>
      <c r="AF646" s="556"/>
      <c r="AG646" s="556"/>
    </row>
    <row r="647" spans="1:33">
      <c r="A647" s="585">
        <v>633</v>
      </c>
      <c r="B647" s="587" t="s">
        <v>2925</v>
      </c>
      <c r="C647" s="585">
        <v>633</v>
      </c>
      <c r="D647" s="629" t="s">
        <v>2317</v>
      </c>
      <c r="E647" s="586" t="s">
        <v>401</v>
      </c>
      <c r="F647" s="675">
        <v>4.1703599999999993E-2</v>
      </c>
      <c r="G647" s="676">
        <v>2538.48</v>
      </c>
      <c r="H647" s="588">
        <v>487.2</v>
      </c>
      <c r="I647" s="587" t="s">
        <v>549</v>
      </c>
      <c r="J647" s="585">
        <v>1</v>
      </c>
      <c r="K647" s="585" t="s">
        <v>910</v>
      </c>
      <c r="L647" s="678">
        <v>348</v>
      </c>
      <c r="M647" s="649" t="s">
        <v>2533</v>
      </c>
      <c r="N647" s="679">
        <v>67.071199999999919</v>
      </c>
      <c r="O647" s="679">
        <v>134.15400000000011</v>
      </c>
      <c r="P647" s="589" t="s">
        <v>2534</v>
      </c>
      <c r="Q647" s="680">
        <v>336.67839999999967</v>
      </c>
      <c r="R647" s="696"/>
      <c r="S647" s="553"/>
      <c r="T647" s="553"/>
      <c r="U647" s="553"/>
      <c r="V647" s="553"/>
      <c r="W647" s="553"/>
      <c r="X647" s="553"/>
      <c r="Y647" s="553"/>
      <c r="Z647" s="553"/>
      <c r="AA647" s="553"/>
      <c r="AB647" s="554"/>
      <c r="AC647" s="555"/>
      <c r="AD647" s="556"/>
      <c r="AE647" s="556"/>
      <c r="AF647" s="556"/>
      <c r="AG647" s="556"/>
    </row>
    <row r="648" spans="1:33">
      <c r="A648" s="585">
        <v>634</v>
      </c>
      <c r="B648" s="587" t="s">
        <v>2926</v>
      </c>
      <c r="C648" s="585">
        <v>634</v>
      </c>
      <c r="D648" s="629" t="s">
        <v>2317</v>
      </c>
      <c r="E648" s="586" t="s">
        <v>402</v>
      </c>
      <c r="F648" s="675">
        <v>3.7204100000000004E-2</v>
      </c>
      <c r="G648" s="676">
        <v>2538.48</v>
      </c>
      <c r="H648" s="588">
        <v>487.2</v>
      </c>
      <c r="I648" s="587" t="s">
        <v>549</v>
      </c>
      <c r="J648" s="585">
        <v>1</v>
      </c>
      <c r="K648" s="585" t="s">
        <v>911</v>
      </c>
      <c r="L648" s="678">
        <v>348</v>
      </c>
      <c r="M648" s="649" t="s">
        <v>2533</v>
      </c>
      <c r="N648" s="679">
        <v>67.071199999999919</v>
      </c>
      <c r="O648" s="679">
        <v>134.15400000000011</v>
      </c>
      <c r="P648" s="589" t="s">
        <v>2534</v>
      </c>
      <c r="Q648" s="680">
        <v>336.67839999999967</v>
      </c>
      <c r="R648" s="696"/>
      <c r="S648" s="553"/>
      <c r="T648" s="553"/>
      <c r="U648" s="553"/>
      <c r="V648" s="553"/>
      <c r="W648" s="553"/>
      <c r="X648" s="553"/>
      <c r="Y648" s="553"/>
      <c r="Z648" s="553"/>
      <c r="AA648" s="553"/>
      <c r="AB648" s="554"/>
      <c r="AC648" s="555"/>
      <c r="AD648" s="556"/>
      <c r="AE648" s="556"/>
      <c r="AF648" s="556"/>
      <c r="AG648" s="556"/>
    </row>
    <row r="649" spans="1:33">
      <c r="A649" s="585">
        <v>635</v>
      </c>
      <c r="B649" s="587" t="s">
        <v>2927</v>
      </c>
      <c r="C649" s="585">
        <v>635</v>
      </c>
      <c r="D649" s="629" t="s">
        <v>2317</v>
      </c>
      <c r="E649" s="586" t="s">
        <v>403</v>
      </c>
      <c r="F649" s="675">
        <v>4.5574000000000003E-2</v>
      </c>
      <c r="G649" s="676">
        <v>2538.48</v>
      </c>
      <c r="H649" s="588">
        <v>487.2</v>
      </c>
      <c r="I649" s="587" t="s">
        <v>549</v>
      </c>
      <c r="J649" s="585">
        <v>1</v>
      </c>
      <c r="K649" s="585" t="s">
        <v>912</v>
      </c>
      <c r="L649" s="678">
        <v>348</v>
      </c>
      <c r="M649" s="649" t="s">
        <v>2533</v>
      </c>
      <c r="N649" s="679">
        <v>67.071199999999919</v>
      </c>
      <c r="O649" s="679">
        <v>134.15400000000011</v>
      </c>
      <c r="P649" s="589" t="s">
        <v>2534</v>
      </c>
      <c r="Q649" s="680">
        <v>336.67839999999967</v>
      </c>
      <c r="R649" s="696"/>
      <c r="S649" s="553"/>
      <c r="T649" s="553"/>
      <c r="U649" s="553"/>
      <c r="V649" s="553"/>
      <c r="W649" s="553"/>
      <c r="X649" s="553"/>
      <c r="Y649" s="553"/>
      <c r="Z649" s="553"/>
      <c r="AA649" s="553"/>
      <c r="AB649" s="554"/>
      <c r="AC649" s="555"/>
      <c r="AD649" s="556"/>
      <c r="AE649" s="556"/>
      <c r="AF649" s="556"/>
      <c r="AG649" s="556"/>
    </row>
    <row r="650" spans="1:33">
      <c r="A650" s="585">
        <v>636</v>
      </c>
      <c r="B650" s="587" t="s">
        <v>2928</v>
      </c>
      <c r="C650" s="585">
        <v>636</v>
      </c>
      <c r="D650" s="629" t="s">
        <v>2317</v>
      </c>
      <c r="E650" s="586" t="s">
        <v>404</v>
      </c>
      <c r="F650" s="675">
        <v>4.22108E-2</v>
      </c>
      <c r="G650" s="676">
        <v>2538.48</v>
      </c>
      <c r="H650" s="588">
        <v>487.2</v>
      </c>
      <c r="I650" s="587" t="s">
        <v>549</v>
      </c>
      <c r="J650" s="585">
        <v>1</v>
      </c>
      <c r="K650" s="585" t="s">
        <v>913</v>
      </c>
      <c r="L650" s="678">
        <v>348</v>
      </c>
      <c r="M650" s="649" t="s">
        <v>2533</v>
      </c>
      <c r="N650" s="679">
        <v>67.071199999999919</v>
      </c>
      <c r="O650" s="679">
        <v>134.15400000000011</v>
      </c>
      <c r="P650" s="589" t="s">
        <v>2534</v>
      </c>
      <c r="Q650" s="680">
        <v>336.67839999999967</v>
      </c>
      <c r="R650" s="696"/>
      <c r="S650" s="553"/>
      <c r="T650" s="553"/>
      <c r="U650" s="553"/>
      <c r="V650" s="553"/>
      <c r="W650" s="553"/>
      <c r="X650" s="553"/>
      <c r="Y650" s="553"/>
      <c r="Z650" s="553"/>
      <c r="AA650" s="553"/>
      <c r="AB650" s="554"/>
      <c r="AC650" s="555"/>
      <c r="AD650" s="556"/>
      <c r="AE650" s="556"/>
      <c r="AF650" s="556"/>
      <c r="AG650" s="556"/>
    </row>
    <row r="651" spans="1:33">
      <c r="A651" s="585">
        <v>637</v>
      </c>
      <c r="B651" s="587" t="s">
        <v>2929</v>
      </c>
      <c r="C651" s="585">
        <v>637</v>
      </c>
      <c r="D651" s="629" t="s">
        <v>2317</v>
      </c>
      <c r="E651" s="586" t="s">
        <v>405</v>
      </c>
      <c r="F651" s="675">
        <v>4.1417200000000001E-2</v>
      </c>
      <c r="G651" s="676">
        <v>2538.48</v>
      </c>
      <c r="H651" s="588">
        <v>487.2</v>
      </c>
      <c r="I651" s="587" t="s">
        <v>549</v>
      </c>
      <c r="J651" s="585">
        <v>1</v>
      </c>
      <c r="K651" s="585" t="s">
        <v>914</v>
      </c>
      <c r="L651" s="678">
        <v>348</v>
      </c>
      <c r="M651" s="649" t="s">
        <v>2533</v>
      </c>
      <c r="N651" s="679">
        <v>67.071199999999919</v>
      </c>
      <c r="O651" s="679">
        <v>134.15400000000011</v>
      </c>
      <c r="P651" s="589" t="s">
        <v>2534</v>
      </c>
      <c r="Q651" s="680">
        <v>336.67839999999967</v>
      </c>
      <c r="R651" s="696"/>
      <c r="S651" s="553"/>
      <c r="T651" s="553"/>
      <c r="U651" s="553"/>
      <c r="V651" s="553"/>
      <c r="W651" s="553"/>
      <c r="X651" s="553"/>
      <c r="Y651" s="553"/>
      <c r="Z651" s="553"/>
      <c r="AA651" s="553"/>
      <c r="AB651" s="554"/>
      <c r="AC651" s="555"/>
      <c r="AD651" s="556"/>
      <c r="AE651" s="556"/>
      <c r="AF651" s="556"/>
      <c r="AG651" s="556"/>
    </row>
    <row r="652" spans="1:33">
      <c r="A652" s="585">
        <v>638</v>
      </c>
      <c r="B652" s="587" t="s">
        <v>2930</v>
      </c>
      <c r="C652" s="585">
        <v>638</v>
      </c>
      <c r="D652" s="629" t="s">
        <v>2317</v>
      </c>
      <c r="E652" s="586" t="s">
        <v>406</v>
      </c>
      <c r="F652" s="675">
        <v>4.1338E-2</v>
      </c>
      <c r="G652" s="676">
        <v>2538.48</v>
      </c>
      <c r="H652" s="588">
        <v>487.2</v>
      </c>
      <c r="I652" s="587" t="s">
        <v>549</v>
      </c>
      <c r="J652" s="585">
        <v>1</v>
      </c>
      <c r="K652" s="585" t="s">
        <v>915</v>
      </c>
      <c r="L652" s="678">
        <v>348</v>
      </c>
      <c r="M652" s="649" t="s">
        <v>2533</v>
      </c>
      <c r="N652" s="679">
        <v>67.071199999999919</v>
      </c>
      <c r="O652" s="679">
        <v>134.15400000000011</v>
      </c>
      <c r="P652" s="589" t="s">
        <v>2534</v>
      </c>
      <c r="Q652" s="680">
        <v>336.67839999999967</v>
      </c>
      <c r="R652" s="696"/>
      <c r="S652" s="553"/>
      <c r="T652" s="553"/>
      <c r="U652" s="553"/>
      <c r="V652" s="553"/>
      <c r="W652" s="553"/>
      <c r="X652" s="553"/>
      <c r="Y652" s="553"/>
      <c r="Z652" s="553"/>
      <c r="AA652" s="553"/>
      <c r="AB652" s="554"/>
      <c r="AC652" s="555"/>
      <c r="AD652" s="556"/>
      <c r="AE652" s="556"/>
      <c r="AF652" s="556"/>
      <c r="AG652" s="556"/>
    </row>
    <row r="653" spans="1:33">
      <c r="A653" s="585">
        <v>639</v>
      </c>
      <c r="B653" s="587" t="s">
        <v>2931</v>
      </c>
      <c r="C653" s="585">
        <v>639</v>
      </c>
      <c r="D653" s="629" t="s">
        <v>2317</v>
      </c>
      <c r="E653" s="586" t="s">
        <v>407</v>
      </c>
      <c r="F653" s="675">
        <v>3.7225299999999996E-2</v>
      </c>
      <c r="G653" s="676">
        <v>2538.48</v>
      </c>
      <c r="H653" s="588">
        <v>487.2</v>
      </c>
      <c r="I653" s="587" t="s">
        <v>549</v>
      </c>
      <c r="J653" s="585">
        <v>1</v>
      </c>
      <c r="K653" s="585" t="s">
        <v>916</v>
      </c>
      <c r="L653" s="678">
        <v>348</v>
      </c>
      <c r="M653" s="649" t="s">
        <v>2533</v>
      </c>
      <c r="N653" s="679">
        <v>67.071199999999919</v>
      </c>
      <c r="O653" s="679">
        <v>134.15400000000011</v>
      </c>
      <c r="P653" s="589" t="s">
        <v>2534</v>
      </c>
      <c r="Q653" s="680">
        <v>336.67839999999967</v>
      </c>
      <c r="R653" s="696"/>
      <c r="S653" s="553"/>
      <c r="T653" s="553"/>
      <c r="U653" s="553"/>
      <c r="V653" s="553"/>
      <c r="W653" s="553"/>
      <c r="X653" s="553"/>
      <c r="Y653" s="553"/>
      <c r="Z653" s="553"/>
      <c r="AA653" s="553"/>
      <c r="AB653" s="554"/>
      <c r="AC653" s="555"/>
      <c r="AD653" s="556"/>
      <c r="AE653" s="556"/>
      <c r="AF653" s="556"/>
      <c r="AG653" s="556"/>
    </row>
    <row r="654" spans="1:33">
      <c r="A654" s="585">
        <v>640</v>
      </c>
      <c r="B654" s="587" t="s">
        <v>2932</v>
      </c>
      <c r="C654" s="585">
        <v>640</v>
      </c>
      <c r="D654" s="629" t="s">
        <v>2317</v>
      </c>
      <c r="E654" s="586" t="s">
        <v>408</v>
      </c>
      <c r="F654" s="675">
        <v>5.1864600000000004E-2</v>
      </c>
      <c r="G654" s="676">
        <v>3463.0023344000001</v>
      </c>
      <c r="H654" s="588">
        <v>487.2</v>
      </c>
      <c r="I654" s="587" t="s">
        <v>601</v>
      </c>
      <c r="J654" s="585">
        <v>2</v>
      </c>
      <c r="K654" s="585" t="s">
        <v>917</v>
      </c>
      <c r="L654" s="678">
        <v>348</v>
      </c>
      <c r="M654" s="649" t="s">
        <v>2533</v>
      </c>
      <c r="N654" s="679">
        <v>121.62599999999989</v>
      </c>
      <c r="O654" s="679">
        <v>243.24040000000008</v>
      </c>
      <c r="P654" s="589" t="s">
        <v>2534</v>
      </c>
      <c r="Q654" s="680">
        <v>336.67839999999967</v>
      </c>
      <c r="R654" s="696"/>
      <c r="S654" s="553"/>
      <c r="T654" s="553"/>
      <c r="U654" s="553"/>
      <c r="V654" s="553"/>
      <c r="W654" s="553"/>
      <c r="X654" s="553"/>
      <c r="Y654" s="553"/>
      <c r="Z654" s="553"/>
      <c r="AA654" s="553"/>
      <c r="AB654" s="554"/>
      <c r="AC654" s="555"/>
      <c r="AD654" s="556"/>
      <c r="AE654" s="556"/>
      <c r="AF654" s="556"/>
      <c r="AG654" s="556"/>
    </row>
    <row r="655" spans="1:33">
      <c r="A655" s="585">
        <v>641</v>
      </c>
      <c r="B655" s="587" t="s">
        <v>2933</v>
      </c>
      <c r="C655" s="585">
        <v>641</v>
      </c>
      <c r="D655" s="629" t="s">
        <v>2317</v>
      </c>
      <c r="E655" s="586" t="s">
        <v>409</v>
      </c>
      <c r="F655" s="675">
        <v>5.1864600000000004E-2</v>
      </c>
      <c r="G655" s="676">
        <v>3463.0023344000001</v>
      </c>
      <c r="H655" s="588">
        <v>487.2</v>
      </c>
      <c r="I655" s="587" t="s">
        <v>601</v>
      </c>
      <c r="J655" s="585">
        <v>2</v>
      </c>
      <c r="K655" s="585" t="s">
        <v>918</v>
      </c>
      <c r="L655" s="678">
        <v>348</v>
      </c>
      <c r="M655" s="649" t="s">
        <v>2533</v>
      </c>
      <c r="N655" s="679">
        <v>121.62599999999989</v>
      </c>
      <c r="O655" s="679">
        <v>243.24040000000008</v>
      </c>
      <c r="P655" s="589" t="s">
        <v>2534</v>
      </c>
      <c r="Q655" s="680">
        <v>336.67839999999967</v>
      </c>
      <c r="R655" s="696"/>
      <c r="S655" s="553"/>
      <c r="T655" s="553"/>
      <c r="U655" s="553"/>
      <c r="V655" s="553"/>
      <c r="W655" s="553"/>
      <c r="X655" s="553"/>
      <c r="Y655" s="553"/>
      <c r="Z655" s="553"/>
      <c r="AA655" s="553"/>
      <c r="AB655" s="554"/>
      <c r="AC655" s="555"/>
      <c r="AD655" s="556"/>
      <c r="AE655" s="556"/>
      <c r="AF655" s="556"/>
      <c r="AG655" s="556"/>
    </row>
    <row r="656" spans="1:33">
      <c r="A656" s="585">
        <v>642</v>
      </c>
      <c r="B656" s="587" t="s">
        <v>2934</v>
      </c>
      <c r="C656" s="585">
        <v>642</v>
      </c>
      <c r="D656" s="629" t="s">
        <v>2317</v>
      </c>
      <c r="E656" s="586" t="s">
        <v>410</v>
      </c>
      <c r="F656" s="675">
        <v>3.2460200000000002E-2</v>
      </c>
      <c r="G656" s="676">
        <v>2538.48</v>
      </c>
      <c r="H656" s="588">
        <v>487.2</v>
      </c>
      <c r="I656" s="587" t="s">
        <v>549</v>
      </c>
      <c r="J656" s="585">
        <v>1</v>
      </c>
      <c r="K656" s="585" t="s">
        <v>919</v>
      </c>
      <c r="L656" s="678">
        <v>348</v>
      </c>
      <c r="M656" s="649" t="s">
        <v>2533</v>
      </c>
      <c r="N656" s="679">
        <v>67.071199999999919</v>
      </c>
      <c r="O656" s="679">
        <v>134.15400000000011</v>
      </c>
      <c r="P656" s="589" t="s">
        <v>2534</v>
      </c>
      <c r="Q656" s="680">
        <v>336.67839999999967</v>
      </c>
      <c r="R656" s="696"/>
      <c r="S656" s="553"/>
      <c r="T656" s="553"/>
      <c r="U656" s="553"/>
      <c r="V656" s="553"/>
      <c r="W656" s="553"/>
      <c r="X656" s="553"/>
      <c r="Y656" s="553"/>
      <c r="Z656" s="553"/>
      <c r="AA656" s="553"/>
      <c r="AB656" s="554"/>
      <c r="AC656" s="555"/>
      <c r="AD656" s="556"/>
      <c r="AE656" s="556"/>
      <c r="AF656" s="556"/>
      <c r="AG656" s="556"/>
    </row>
    <row r="657" spans="1:33">
      <c r="A657" s="585">
        <v>643</v>
      </c>
      <c r="B657" s="587" t="s">
        <v>10429</v>
      </c>
      <c r="C657" s="585">
        <v>643</v>
      </c>
      <c r="D657" s="629" t="s">
        <v>10432</v>
      </c>
      <c r="E657" s="586" t="s">
        <v>10465</v>
      </c>
      <c r="F657" s="675">
        <v>4.8640000000000003E-2</v>
      </c>
      <c r="G657" s="676">
        <v>3463</v>
      </c>
      <c r="H657" s="588">
        <v>487.2</v>
      </c>
      <c r="I657" s="587" t="s">
        <v>601</v>
      </c>
      <c r="J657" s="585">
        <v>2</v>
      </c>
      <c r="K657" s="585" t="s">
        <v>10493</v>
      </c>
      <c r="L657" s="678">
        <v>348</v>
      </c>
      <c r="M657" s="649" t="s">
        <v>2533</v>
      </c>
      <c r="N657" s="679">
        <v>121.62599999999989</v>
      </c>
      <c r="O657" s="679">
        <v>243.24040000000008</v>
      </c>
      <c r="P657" s="589" t="s">
        <v>2534</v>
      </c>
      <c r="Q657" s="680">
        <v>336.67840000000001</v>
      </c>
      <c r="R657" s="696"/>
      <c r="S657" s="553"/>
      <c r="T657" s="553"/>
      <c r="U657" s="553"/>
      <c r="V657" s="553"/>
      <c r="W657" s="553"/>
      <c r="X657" s="553"/>
      <c r="Y657" s="553"/>
      <c r="Z657" s="553"/>
      <c r="AA657" s="553"/>
      <c r="AB657" s="554"/>
      <c r="AC657" s="555"/>
      <c r="AD657" s="556"/>
      <c r="AE657" s="556"/>
      <c r="AF657" s="556"/>
      <c r="AG657" s="556"/>
    </row>
    <row r="658" spans="1:33">
      <c r="A658" s="585">
        <v>644</v>
      </c>
      <c r="B658" s="587" t="s">
        <v>2935</v>
      </c>
      <c r="C658" s="585">
        <v>644</v>
      </c>
      <c r="D658" s="629" t="s">
        <v>2318</v>
      </c>
      <c r="E658" s="586" t="s">
        <v>2318</v>
      </c>
      <c r="F658" s="675">
        <v>3.4355799999999999E-2</v>
      </c>
      <c r="G658" s="676">
        <v>2538.48</v>
      </c>
      <c r="H658" s="588">
        <v>487.2</v>
      </c>
      <c r="I658" s="587" t="s">
        <v>549</v>
      </c>
      <c r="J658" s="585">
        <v>1</v>
      </c>
      <c r="K658" s="585" t="s">
        <v>920</v>
      </c>
      <c r="L658" s="678">
        <v>348</v>
      </c>
      <c r="M658" s="649" t="s">
        <v>2533</v>
      </c>
      <c r="N658" s="679">
        <v>67.071199999999919</v>
      </c>
      <c r="O658" s="679">
        <v>134.15400000000011</v>
      </c>
      <c r="P658" s="589" t="s">
        <v>2534</v>
      </c>
      <c r="Q658" s="680">
        <v>336.67839999999967</v>
      </c>
      <c r="R658" s="696"/>
      <c r="S658" s="553"/>
      <c r="T658" s="553"/>
      <c r="U658" s="553"/>
      <c r="V658" s="553"/>
      <c r="W658" s="553"/>
      <c r="X658" s="553"/>
      <c r="Y658" s="553"/>
      <c r="Z658" s="553"/>
      <c r="AA658" s="553"/>
      <c r="AB658" s="554"/>
      <c r="AC658" s="555"/>
      <c r="AD658" s="556"/>
      <c r="AE658" s="556"/>
      <c r="AF658" s="556"/>
      <c r="AG658" s="556"/>
    </row>
    <row r="659" spans="1:33">
      <c r="A659" s="585">
        <v>645</v>
      </c>
      <c r="B659" s="587" t="s">
        <v>10430</v>
      </c>
      <c r="C659" s="585">
        <v>645</v>
      </c>
      <c r="D659" s="629" t="s">
        <v>2318</v>
      </c>
      <c r="E659" s="586" t="s">
        <v>10498</v>
      </c>
      <c r="F659" s="675">
        <v>3.8318999999999999E-2</v>
      </c>
      <c r="G659" s="676">
        <v>11870.23</v>
      </c>
      <c r="H659" s="588">
        <v>487.2</v>
      </c>
      <c r="I659" s="587" t="s">
        <v>3793</v>
      </c>
      <c r="J659" s="585">
        <v>3</v>
      </c>
      <c r="K659" s="585" t="s">
        <v>10494</v>
      </c>
      <c r="L659" s="678">
        <v>0</v>
      </c>
      <c r="M659" s="649" t="s">
        <v>2533</v>
      </c>
      <c r="N659" s="679">
        <v>481.76540000000057</v>
      </c>
      <c r="O659" s="679">
        <v>963.53080000000114</v>
      </c>
      <c r="P659" s="589" t="s">
        <v>2534</v>
      </c>
      <c r="Q659" s="680">
        <v>0</v>
      </c>
      <c r="R659" s="696"/>
      <c r="S659" s="553"/>
      <c r="T659" s="553"/>
      <c r="U659" s="553"/>
      <c r="V659" s="553"/>
      <c r="W659" s="553"/>
      <c r="X659" s="553"/>
      <c r="Y659" s="553"/>
      <c r="Z659" s="553"/>
      <c r="AA659" s="553"/>
      <c r="AB659" s="554"/>
      <c r="AC659" s="555"/>
      <c r="AD659" s="556"/>
      <c r="AE659" s="556"/>
      <c r="AF659" s="556"/>
      <c r="AG659" s="556"/>
    </row>
    <row r="660" spans="1:33">
      <c r="A660" s="585">
        <v>646</v>
      </c>
      <c r="B660" s="587" t="s">
        <v>3610</v>
      </c>
      <c r="C660" s="585">
        <v>646</v>
      </c>
      <c r="D660" s="629" t="s">
        <v>2319</v>
      </c>
      <c r="E660" s="586" t="s">
        <v>3785</v>
      </c>
      <c r="F660" s="675">
        <v>2.8934000000000001E-2</v>
      </c>
      <c r="G660" s="676">
        <v>8154.31</v>
      </c>
      <c r="H660" s="588">
        <v>487.2</v>
      </c>
      <c r="I660" s="587" t="s">
        <v>3793</v>
      </c>
      <c r="J660" s="585">
        <v>3</v>
      </c>
      <c r="K660" s="585" t="s">
        <v>3698</v>
      </c>
      <c r="L660" s="678">
        <v>0</v>
      </c>
      <c r="M660" s="649" t="s">
        <v>2533</v>
      </c>
      <c r="N660" s="679">
        <v>330.29</v>
      </c>
      <c r="O660" s="679">
        <v>660.56</v>
      </c>
      <c r="P660" s="589" t="s">
        <v>2534</v>
      </c>
      <c r="Q660" s="680">
        <v>0</v>
      </c>
      <c r="R660" s="696"/>
      <c r="S660" s="553"/>
      <c r="T660" s="553"/>
      <c r="U660" s="553"/>
      <c r="V660" s="553"/>
      <c r="W660" s="553"/>
      <c r="X660" s="553"/>
      <c r="Y660" s="553"/>
      <c r="Z660" s="553"/>
      <c r="AA660" s="553"/>
      <c r="AB660" s="554"/>
      <c r="AC660" s="555"/>
      <c r="AD660" s="556"/>
      <c r="AE660" s="556"/>
      <c r="AF660" s="556"/>
      <c r="AG660" s="556"/>
    </row>
    <row r="661" spans="1:33">
      <c r="A661" s="585">
        <v>647</v>
      </c>
      <c r="B661" s="587" t="s">
        <v>3611</v>
      </c>
      <c r="C661" s="585">
        <v>647</v>
      </c>
      <c r="D661" s="629" t="s">
        <v>2319</v>
      </c>
      <c r="E661" s="586" t="s">
        <v>3786</v>
      </c>
      <c r="F661" s="675">
        <v>2.8934000000000001E-2</v>
      </c>
      <c r="G661" s="676">
        <v>8154.31</v>
      </c>
      <c r="H661" s="588">
        <v>487.2</v>
      </c>
      <c r="I661" s="587" t="s">
        <v>3793</v>
      </c>
      <c r="J661" s="585">
        <v>3</v>
      </c>
      <c r="K661" s="585" t="s">
        <v>3699</v>
      </c>
      <c r="L661" s="678">
        <v>0</v>
      </c>
      <c r="M661" s="649" t="s">
        <v>2533</v>
      </c>
      <c r="N661" s="679">
        <v>330.29</v>
      </c>
      <c r="O661" s="679">
        <v>660.56</v>
      </c>
      <c r="P661" s="589" t="s">
        <v>2534</v>
      </c>
      <c r="Q661" s="680">
        <v>0</v>
      </c>
      <c r="R661" s="696"/>
      <c r="S661" s="553"/>
      <c r="T661" s="553"/>
      <c r="U661" s="553"/>
      <c r="V661" s="553"/>
      <c r="W661" s="553"/>
      <c r="X661" s="553"/>
      <c r="Y661" s="553"/>
      <c r="Z661" s="553"/>
      <c r="AA661" s="553"/>
      <c r="AB661" s="554"/>
      <c r="AC661" s="555"/>
      <c r="AD661" s="556"/>
      <c r="AE661" s="556"/>
      <c r="AF661" s="556"/>
      <c r="AG661" s="556"/>
    </row>
    <row r="662" spans="1:33">
      <c r="A662" s="585">
        <v>648</v>
      </c>
      <c r="B662" s="587" t="s">
        <v>3612</v>
      </c>
      <c r="C662" s="585">
        <v>648</v>
      </c>
      <c r="D662" s="629" t="s">
        <v>2319</v>
      </c>
      <c r="E662" s="586" t="s">
        <v>3787</v>
      </c>
      <c r="F662" s="675">
        <v>2.8934000000000001E-2</v>
      </c>
      <c r="G662" s="676">
        <v>8154.31</v>
      </c>
      <c r="H662" s="588">
        <v>487.2</v>
      </c>
      <c r="I662" s="587" t="s">
        <v>3793</v>
      </c>
      <c r="J662" s="585">
        <v>3</v>
      </c>
      <c r="K662" s="585" t="s">
        <v>3700</v>
      </c>
      <c r="L662" s="678">
        <v>0</v>
      </c>
      <c r="M662" s="649" t="s">
        <v>2533</v>
      </c>
      <c r="N662" s="679">
        <v>330.29</v>
      </c>
      <c r="O662" s="679">
        <v>660.56</v>
      </c>
      <c r="P662" s="589" t="s">
        <v>2534</v>
      </c>
      <c r="Q662" s="680">
        <v>0</v>
      </c>
      <c r="R662" s="696"/>
      <c r="S662" s="553"/>
      <c r="T662" s="553"/>
      <c r="U662" s="553"/>
      <c r="V662" s="553"/>
      <c r="W662" s="553"/>
      <c r="X662" s="553"/>
      <c r="Y662" s="553"/>
      <c r="Z662" s="553"/>
      <c r="AA662" s="553"/>
      <c r="AB662" s="554"/>
      <c r="AC662" s="555"/>
      <c r="AD662" s="556"/>
      <c r="AE662" s="556"/>
      <c r="AF662" s="556"/>
      <c r="AG662" s="556"/>
    </row>
    <row r="663" spans="1:33">
      <c r="A663" s="585">
        <v>649</v>
      </c>
      <c r="B663" s="587" t="s">
        <v>3613</v>
      </c>
      <c r="C663" s="585">
        <v>649</v>
      </c>
      <c r="D663" s="629" t="s">
        <v>2319</v>
      </c>
      <c r="E663" s="586" t="s">
        <v>3788</v>
      </c>
      <c r="F663" s="675">
        <v>2.8934000000000001E-2</v>
      </c>
      <c r="G663" s="676">
        <v>8154.31</v>
      </c>
      <c r="H663" s="588">
        <v>487.2</v>
      </c>
      <c r="I663" s="587" t="s">
        <v>3793</v>
      </c>
      <c r="J663" s="585">
        <v>3</v>
      </c>
      <c r="K663" s="585" t="s">
        <v>3701</v>
      </c>
      <c r="L663" s="678">
        <v>0</v>
      </c>
      <c r="M663" s="649" t="s">
        <v>2533</v>
      </c>
      <c r="N663" s="679">
        <v>330.29</v>
      </c>
      <c r="O663" s="679">
        <v>660.56</v>
      </c>
      <c r="P663" s="589" t="s">
        <v>2534</v>
      </c>
      <c r="Q663" s="680">
        <v>0</v>
      </c>
      <c r="R663" s="696"/>
      <c r="S663" s="553"/>
      <c r="T663" s="553"/>
      <c r="U663" s="553"/>
      <c r="V663" s="553"/>
      <c r="W663" s="553"/>
      <c r="X663" s="553"/>
      <c r="Y663" s="553"/>
      <c r="Z663" s="553"/>
      <c r="AA663" s="553"/>
      <c r="AB663" s="554"/>
      <c r="AC663" s="555"/>
      <c r="AD663" s="556"/>
      <c r="AE663" s="556"/>
      <c r="AF663" s="556"/>
      <c r="AG663" s="556"/>
    </row>
    <row r="664" spans="1:33">
      <c r="A664" s="585">
        <v>650</v>
      </c>
      <c r="B664" s="587" t="s">
        <v>2936</v>
      </c>
      <c r="C664" s="585">
        <v>650</v>
      </c>
      <c r="D664" s="629" t="s">
        <v>2319</v>
      </c>
      <c r="E664" s="586" t="s">
        <v>411</v>
      </c>
      <c r="F664" s="675">
        <v>4.8093299999999999E-2</v>
      </c>
      <c r="G664" s="676">
        <v>2538.48</v>
      </c>
      <c r="H664" s="588">
        <v>487.2</v>
      </c>
      <c r="I664" s="587" t="s">
        <v>549</v>
      </c>
      <c r="J664" s="585">
        <v>1</v>
      </c>
      <c r="K664" s="585" t="s">
        <v>921</v>
      </c>
      <c r="L664" s="678">
        <v>348</v>
      </c>
      <c r="M664" s="649" t="s">
        <v>2533</v>
      </c>
      <c r="N664" s="679">
        <v>67.071199999999919</v>
      </c>
      <c r="O664" s="679">
        <v>134.15400000000011</v>
      </c>
      <c r="P664" s="589" t="s">
        <v>2534</v>
      </c>
      <c r="Q664" s="680">
        <v>336.67839999999967</v>
      </c>
      <c r="R664" s="696"/>
      <c r="S664" s="553"/>
      <c r="T664" s="553"/>
      <c r="U664" s="553"/>
      <c r="V664" s="553"/>
      <c r="W664" s="553"/>
      <c r="X664" s="553"/>
      <c r="Y664" s="553"/>
      <c r="Z664" s="553"/>
      <c r="AA664" s="553"/>
      <c r="AB664" s="554"/>
      <c r="AC664" s="555"/>
      <c r="AD664" s="556"/>
      <c r="AE664" s="556"/>
      <c r="AF664" s="556"/>
      <c r="AG664" s="556"/>
    </row>
    <row r="665" spans="1:33">
      <c r="A665" s="585">
        <v>651</v>
      </c>
      <c r="B665" s="587" t="s">
        <v>2937</v>
      </c>
      <c r="C665" s="585">
        <v>651</v>
      </c>
      <c r="D665" s="629" t="s">
        <v>2319</v>
      </c>
      <c r="E665" s="586" t="s">
        <v>412</v>
      </c>
      <c r="F665" s="675">
        <v>4.8093299999999999E-2</v>
      </c>
      <c r="G665" s="676">
        <v>2538.48</v>
      </c>
      <c r="H665" s="588">
        <v>487.2</v>
      </c>
      <c r="I665" s="587" t="s">
        <v>549</v>
      </c>
      <c r="J665" s="585">
        <v>1</v>
      </c>
      <c r="K665" s="585" t="s">
        <v>922</v>
      </c>
      <c r="L665" s="678">
        <v>348</v>
      </c>
      <c r="M665" s="649" t="s">
        <v>2533</v>
      </c>
      <c r="N665" s="679">
        <v>67.071199999999919</v>
      </c>
      <c r="O665" s="679">
        <v>134.15400000000011</v>
      </c>
      <c r="P665" s="589" t="s">
        <v>2534</v>
      </c>
      <c r="Q665" s="680">
        <v>336.67839999999967</v>
      </c>
      <c r="R665" s="696"/>
      <c r="S665" s="553"/>
      <c r="T665" s="553"/>
      <c r="U665" s="553"/>
      <c r="V665" s="553"/>
      <c r="W665" s="553"/>
      <c r="X665" s="553"/>
      <c r="Y665" s="553"/>
      <c r="Z665" s="553"/>
      <c r="AA665" s="553"/>
      <c r="AB665" s="554"/>
      <c r="AC665" s="555"/>
      <c r="AD665" s="556"/>
      <c r="AE665" s="556"/>
      <c r="AF665" s="556"/>
      <c r="AG665" s="556"/>
    </row>
    <row r="666" spans="1:33">
      <c r="A666" s="585">
        <v>652</v>
      </c>
      <c r="B666" s="587" t="s">
        <v>4411</v>
      </c>
      <c r="C666" s="585">
        <v>652</v>
      </c>
      <c r="D666" s="629" t="s">
        <v>2319</v>
      </c>
      <c r="E666" s="586" t="s">
        <v>4416</v>
      </c>
      <c r="F666" s="675">
        <v>4.8639700000000001E-2</v>
      </c>
      <c r="G666" s="676">
        <v>3463.0023344000001</v>
      </c>
      <c r="H666" s="588">
        <v>487.2</v>
      </c>
      <c r="I666" s="587" t="s">
        <v>601</v>
      </c>
      <c r="J666" s="585">
        <v>2</v>
      </c>
      <c r="K666" s="585" t="s">
        <v>4421</v>
      </c>
      <c r="L666" s="678">
        <v>348</v>
      </c>
      <c r="M666" s="649" t="s">
        <v>2533</v>
      </c>
      <c r="N666" s="679">
        <v>121.62599999999989</v>
      </c>
      <c r="O666" s="679">
        <v>243.24040000000008</v>
      </c>
      <c r="P666" s="589" t="s">
        <v>2534</v>
      </c>
      <c r="Q666" s="680">
        <v>336.67839999999967</v>
      </c>
      <c r="R666" s="696"/>
      <c r="S666" s="553"/>
      <c r="T666" s="553"/>
      <c r="U666" s="553"/>
      <c r="V666" s="553"/>
      <c r="W666" s="553"/>
      <c r="X666" s="553"/>
      <c r="Y666" s="553"/>
      <c r="Z666" s="553"/>
      <c r="AA666" s="553"/>
      <c r="AB666" s="554"/>
      <c r="AC666" s="555"/>
      <c r="AD666" s="556"/>
      <c r="AE666" s="556"/>
      <c r="AF666" s="556"/>
      <c r="AG666" s="556"/>
    </row>
    <row r="667" spans="1:33">
      <c r="A667" s="585">
        <v>653</v>
      </c>
      <c r="B667" s="587" t="s">
        <v>4365</v>
      </c>
      <c r="C667" s="585">
        <v>653</v>
      </c>
      <c r="D667" s="629" t="s">
        <v>2319</v>
      </c>
      <c r="E667" s="586" t="s">
        <v>4366</v>
      </c>
      <c r="F667" s="675">
        <v>8.8371400000000003E-2</v>
      </c>
      <c r="G667" s="676">
        <v>2538.48</v>
      </c>
      <c r="H667" s="588">
        <v>487.2</v>
      </c>
      <c r="I667" s="587" t="s">
        <v>549</v>
      </c>
      <c r="J667" s="585">
        <v>1</v>
      </c>
      <c r="K667" s="585" t="s">
        <v>4367</v>
      </c>
      <c r="L667" s="678">
        <v>348</v>
      </c>
      <c r="M667" s="649" t="s">
        <v>2533</v>
      </c>
      <c r="N667" s="679">
        <v>67.071199999999919</v>
      </c>
      <c r="O667" s="679">
        <v>134.15400000000011</v>
      </c>
      <c r="P667" s="589" t="s">
        <v>2534</v>
      </c>
      <c r="Q667" s="680">
        <v>336.67839999999967</v>
      </c>
      <c r="R667" s="696"/>
      <c r="S667" s="553"/>
      <c r="T667" s="553"/>
      <c r="U667" s="553"/>
      <c r="V667" s="553"/>
      <c r="W667" s="553"/>
      <c r="X667" s="553"/>
      <c r="Y667" s="553"/>
      <c r="Z667" s="553"/>
      <c r="AA667" s="553"/>
      <c r="AB667" s="554"/>
      <c r="AC667" s="555"/>
      <c r="AD667" s="556"/>
      <c r="AE667" s="556"/>
      <c r="AF667" s="556"/>
      <c r="AG667" s="556"/>
    </row>
    <row r="668" spans="1:33">
      <c r="A668" s="585">
        <v>654</v>
      </c>
      <c r="B668" s="587" t="s">
        <v>2938</v>
      </c>
      <c r="C668" s="585">
        <v>654</v>
      </c>
      <c r="D668" s="629" t="s">
        <v>2319</v>
      </c>
      <c r="E668" s="586" t="s">
        <v>413</v>
      </c>
      <c r="F668" s="675">
        <v>4.8639700000000001E-2</v>
      </c>
      <c r="G668" s="676">
        <v>3463.0023344000001</v>
      </c>
      <c r="H668" s="588">
        <v>487.2</v>
      </c>
      <c r="I668" s="587" t="s">
        <v>601</v>
      </c>
      <c r="J668" s="585">
        <v>2</v>
      </c>
      <c r="K668" s="585" t="s">
        <v>923</v>
      </c>
      <c r="L668" s="678">
        <v>348</v>
      </c>
      <c r="M668" s="649" t="s">
        <v>2533</v>
      </c>
      <c r="N668" s="679">
        <v>121.62599999999989</v>
      </c>
      <c r="O668" s="679">
        <v>243.24040000000008</v>
      </c>
      <c r="P668" s="589" t="s">
        <v>2534</v>
      </c>
      <c r="Q668" s="680">
        <v>336.67839999999967</v>
      </c>
      <c r="R668" s="696"/>
      <c r="S668" s="553"/>
      <c r="T668" s="553"/>
      <c r="U668" s="553"/>
      <c r="V668" s="553"/>
      <c r="W668" s="553"/>
      <c r="X668" s="553"/>
      <c r="Y668" s="553"/>
      <c r="Z668" s="553"/>
      <c r="AA668" s="553"/>
      <c r="AB668" s="554"/>
      <c r="AC668" s="555"/>
      <c r="AD668" s="556"/>
      <c r="AE668" s="556"/>
      <c r="AF668" s="556"/>
      <c r="AG668" s="556"/>
    </row>
    <row r="669" spans="1:33">
      <c r="A669" s="585">
        <v>655</v>
      </c>
      <c r="B669" s="587" t="s">
        <v>2939</v>
      </c>
      <c r="C669" s="585">
        <v>655</v>
      </c>
      <c r="D669" s="629" t="s">
        <v>2319</v>
      </c>
      <c r="E669" s="586" t="s">
        <v>414</v>
      </c>
      <c r="F669" s="675">
        <v>4.8639700000000001E-2</v>
      </c>
      <c r="G669" s="676">
        <v>3463.0023344000001</v>
      </c>
      <c r="H669" s="588">
        <v>487.2</v>
      </c>
      <c r="I669" s="587" t="s">
        <v>601</v>
      </c>
      <c r="J669" s="585">
        <v>2</v>
      </c>
      <c r="K669" s="585" t="s">
        <v>924</v>
      </c>
      <c r="L669" s="678">
        <v>348</v>
      </c>
      <c r="M669" s="649" t="s">
        <v>2533</v>
      </c>
      <c r="N669" s="679">
        <v>121.62599999999989</v>
      </c>
      <c r="O669" s="679">
        <v>243.24040000000008</v>
      </c>
      <c r="P669" s="589" t="s">
        <v>2534</v>
      </c>
      <c r="Q669" s="680">
        <v>336.67839999999967</v>
      </c>
      <c r="R669" s="696"/>
      <c r="S669" s="553"/>
      <c r="T669" s="553"/>
      <c r="U669" s="553"/>
      <c r="V669" s="553"/>
      <c r="W669" s="553"/>
      <c r="X669" s="553"/>
      <c r="Y669" s="553"/>
      <c r="Z669" s="553"/>
      <c r="AA669" s="553"/>
      <c r="AB669" s="554"/>
      <c r="AC669" s="555"/>
      <c r="AD669" s="556"/>
      <c r="AE669" s="556"/>
      <c r="AF669" s="556"/>
      <c r="AG669" s="556"/>
    </row>
    <row r="670" spans="1:33">
      <c r="A670" s="585">
        <v>656</v>
      </c>
      <c r="B670" s="587" t="s">
        <v>2940</v>
      </c>
      <c r="C670" s="585">
        <v>656</v>
      </c>
      <c r="D670" s="629" t="s">
        <v>2319</v>
      </c>
      <c r="E670" s="586" t="s">
        <v>415</v>
      </c>
      <c r="F670" s="675">
        <v>5.7975399999999996E-2</v>
      </c>
      <c r="G670" s="676">
        <v>2538.48</v>
      </c>
      <c r="H670" s="588">
        <v>487.2</v>
      </c>
      <c r="I670" s="587" t="s">
        <v>549</v>
      </c>
      <c r="J670" s="585">
        <v>1</v>
      </c>
      <c r="K670" s="585" t="s">
        <v>925</v>
      </c>
      <c r="L670" s="678">
        <v>348</v>
      </c>
      <c r="M670" s="649" t="s">
        <v>2533</v>
      </c>
      <c r="N670" s="679">
        <v>67.071199999999919</v>
      </c>
      <c r="O670" s="679">
        <v>134.15400000000011</v>
      </c>
      <c r="P670" s="589" t="s">
        <v>2534</v>
      </c>
      <c r="Q670" s="680">
        <v>336.67839999999967</v>
      </c>
      <c r="R670" s="696"/>
      <c r="S670" s="553"/>
      <c r="T670" s="553"/>
      <c r="U670" s="553"/>
      <c r="V670" s="553"/>
      <c r="W670" s="553"/>
      <c r="X670" s="553"/>
      <c r="Y670" s="553"/>
      <c r="Z670" s="553"/>
      <c r="AA670" s="553"/>
      <c r="AB670" s="554"/>
      <c r="AC670" s="555"/>
      <c r="AD670" s="556"/>
      <c r="AE670" s="556"/>
      <c r="AF670" s="556"/>
      <c r="AG670" s="556"/>
    </row>
    <row r="671" spans="1:33">
      <c r="A671" s="585">
        <v>657</v>
      </c>
      <c r="B671" s="587" t="s">
        <v>2941</v>
      </c>
      <c r="C671" s="585">
        <v>657</v>
      </c>
      <c r="D671" s="629" t="s">
        <v>2319</v>
      </c>
      <c r="E671" s="586" t="s">
        <v>416</v>
      </c>
      <c r="F671" s="675">
        <v>4.5941700000000002E-2</v>
      </c>
      <c r="G671" s="676">
        <v>2538.48</v>
      </c>
      <c r="H671" s="588">
        <v>487.2</v>
      </c>
      <c r="I671" s="587" t="s">
        <v>549</v>
      </c>
      <c r="J671" s="585">
        <v>1</v>
      </c>
      <c r="K671" s="585" t="s">
        <v>926</v>
      </c>
      <c r="L671" s="678">
        <v>348</v>
      </c>
      <c r="M671" s="649" t="s">
        <v>2533</v>
      </c>
      <c r="N671" s="679">
        <v>67.071199999999919</v>
      </c>
      <c r="O671" s="679">
        <v>134.15400000000011</v>
      </c>
      <c r="P671" s="589" t="s">
        <v>2534</v>
      </c>
      <c r="Q671" s="680">
        <v>336.67839999999967</v>
      </c>
      <c r="R671" s="696"/>
      <c r="S671" s="553"/>
      <c r="T671" s="553"/>
      <c r="U671" s="553"/>
      <c r="V671" s="553"/>
      <c r="W671" s="553"/>
      <c r="X671" s="553"/>
      <c r="Y671" s="553"/>
      <c r="Z671" s="553"/>
      <c r="AA671" s="553"/>
      <c r="AB671" s="554"/>
      <c r="AC671" s="555"/>
      <c r="AD671" s="556"/>
      <c r="AE671" s="556"/>
      <c r="AF671" s="556"/>
      <c r="AG671" s="556"/>
    </row>
    <row r="672" spans="1:33">
      <c r="A672" s="585">
        <v>658</v>
      </c>
      <c r="B672" s="587" t="s">
        <v>2942</v>
      </c>
      <c r="C672" s="585">
        <v>658</v>
      </c>
      <c r="D672" s="629" t="s">
        <v>2319</v>
      </c>
      <c r="E672" s="586" t="s">
        <v>417</v>
      </c>
      <c r="F672" s="675">
        <v>5.7297000000000001E-2</v>
      </c>
      <c r="G672" s="676">
        <v>2538.48</v>
      </c>
      <c r="H672" s="588">
        <v>487.2</v>
      </c>
      <c r="I672" s="587" t="s">
        <v>549</v>
      </c>
      <c r="J672" s="585">
        <v>1</v>
      </c>
      <c r="K672" s="585" t="s">
        <v>927</v>
      </c>
      <c r="L672" s="678">
        <v>348</v>
      </c>
      <c r="M672" s="649" t="s">
        <v>2533</v>
      </c>
      <c r="N672" s="679">
        <v>67.071199999999919</v>
      </c>
      <c r="O672" s="679">
        <v>134.15400000000011</v>
      </c>
      <c r="P672" s="589" t="s">
        <v>2534</v>
      </c>
      <c r="Q672" s="680">
        <v>336.67839999999967</v>
      </c>
      <c r="R672" s="696"/>
      <c r="S672" s="553"/>
      <c r="T672" s="553"/>
      <c r="U672" s="553"/>
      <c r="V672" s="553"/>
      <c r="W672" s="553"/>
      <c r="X672" s="553"/>
      <c r="Y672" s="553"/>
      <c r="Z672" s="553"/>
      <c r="AA672" s="553"/>
      <c r="AB672" s="554"/>
      <c r="AC672" s="555"/>
      <c r="AD672" s="556"/>
      <c r="AE672" s="556"/>
      <c r="AF672" s="556"/>
      <c r="AG672" s="556"/>
    </row>
    <row r="673" spans="1:33">
      <c r="A673" s="585">
        <v>659</v>
      </c>
      <c r="B673" s="587" t="s">
        <v>2943</v>
      </c>
      <c r="C673" s="585">
        <v>659</v>
      </c>
      <c r="D673" s="629" t="s">
        <v>2319</v>
      </c>
      <c r="E673" s="586" t="s">
        <v>418</v>
      </c>
      <c r="F673" s="675">
        <v>4.5899299999999997E-2</v>
      </c>
      <c r="G673" s="676">
        <v>2538.48</v>
      </c>
      <c r="H673" s="588">
        <v>487.2</v>
      </c>
      <c r="I673" s="587" t="s">
        <v>549</v>
      </c>
      <c r="J673" s="585">
        <v>1</v>
      </c>
      <c r="K673" s="585" t="s">
        <v>928</v>
      </c>
      <c r="L673" s="678">
        <v>348</v>
      </c>
      <c r="M673" s="649" t="s">
        <v>2533</v>
      </c>
      <c r="N673" s="679">
        <v>67.071199999999919</v>
      </c>
      <c r="O673" s="679">
        <v>134.15400000000011</v>
      </c>
      <c r="P673" s="589" t="s">
        <v>2534</v>
      </c>
      <c r="Q673" s="680">
        <v>336.67839999999967</v>
      </c>
      <c r="R673" s="696"/>
      <c r="S673" s="553"/>
      <c r="T673" s="553"/>
      <c r="U673" s="553"/>
      <c r="V673" s="553"/>
      <c r="W673" s="553"/>
      <c r="X673" s="553"/>
      <c r="Y673" s="553"/>
      <c r="Z673" s="553"/>
      <c r="AA673" s="553"/>
      <c r="AB673" s="554"/>
      <c r="AC673" s="555"/>
      <c r="AD673" s="556"/>
      <c r="AE673" s="556"/>
      <c r="AF673" s="556"/>
      <c r="AG673" s="556"/>
    </row>
    <row r="674" spans="1:33">
      <c r="A674" s="585">
        <v>660</v>
      </c>
      <c r="B674" s="587" t="s">
        <v>2944</v>
      </c>
      <c r="C674" s="585">
        <v>660</v>
      </c>
      <c r="D674" s="629" t="s">
        <v>2319</v>
      </c>
      <c r="E674" s="586" t="s">
        <v>419</v>
      </c>
      <c r="F674" s="675">
        <v>5.6409399999999998E-2</v>
      </c>
      <c r="G674" s="676">
        <v>2538.48</v>
      </c>
      <c r="H674" s="588">
        <v>487.2</v>
      </c>
      <c r="I674" s="587" t="s">
        <v>549</v>
      </c>
      <c r="J674" s="585">
        <v>1</v>
      </c>
      <c r="K674" s="585" t="s">
        <v>929</v>
      </c>
      <c r="L674" s="678">
        <v>348</v>
      </c>
      <c r="M674" s="649" t="s">
        <v>2533</v>
      </c>
      <c r="N674" s="679">
        <v>67.071199999999919</v>
      </c>
      <c r="O674" s="679">
        <v>134.15400000000011</v>
      </c>
      <c r="P674" s="589" t="s">
        <v>2534</v>
      </c>
      <c r="Q674" s="680">
        <v>336.67839999999967</v>
      </c>
      <c r="R674" s="696"/>
      <c r="S674" s="553"/>
      <c r="T674" s="553"/>
      <c r="U674" s="553"/>
      <c r="V674" s="553"/>
      <c r="W674" s="553"/>
      <c r="X674" s="553"/>
      <c r="Y674" s="553"/>
      <c r="Z674" s="553"/>
      <c r="AA674" s="553"/>
      <c r="AB674" s="554"/>
      <c r="AC674" s="555"/>
      <c r="AD674" s="556"/>
      <c r="AE674" s="556"/>
      <c r="AF674" s="556"/>
      <c r="AG674" s="556"/>
    </row>
    <row r="675" spans="1:33">
      <c r="A675" s="585">
        <v>661</v>
      </c>
      <c r="B675" s="587" t="s">
        <v>2945</v>
      </c>
      <c r="C675" s="585">
        <v>661</v>
      </c>
      <c r="D675" s="629" t="s">
        <v>2319</v>
      </c>
      <c r="E675" s="586" t="s">
        <v>420</v>
      </c>
      <c r="F675" s="675">
        <v>4.8639700000000001E-2</v>
      </c>
      <c r="G675" s="676">
        <v>3463.0023344000001</v>
      </c>
      <c r="H675" s="588">
        <v>487.2</v>
      </c>
      <c r="I675" s="587" t="s">
        <v>601</v>
      </c>
      <c r="J675" s="585">
        <v>2</v>
      </c>
      <c r="K675" s="585" t="s">
        <v>930</v>
      </c>
      <c r="L675" s="678">
        <v>348</v>
      </c>
      <c r="M675" s="649" t="s">
        <v>2533</v>
      </c>
      <c r="N675" s="679">
        <v>121.62599999999989</v>
      </c>
      <c r="O675" s="679">
        <v>243.24040000000008</v>
      </c>
      <c r="P675" s="589" t="s">
        <v>2534</v>
      </c>
      <c r="Q675" s="680">
        <v>336.67839999999967</v>
      </c>
      <c r="R675" s="696"/>
      <c r="S675" s="553"/>
      <c r="T675" s="553"/>
      <c r="U675" s="553"/>
      <c r="V675" s="553"/>
      <c r="W675" s="553"/>
      <c r="X675" s="553"/>
      <c r="Y675" s="553"/>
      <c r="Z675" s="553"/>
      <c r="AA675" s="553"/>
      <c r="AB675" s="554"/>
      <c r="AC675" s="555"/>
      <c r="AD675" s="556"/>
      <c r="AE675" s="556"/>
      <c r="AF675" s="556"/>
      <c r="AG675" s="556"/>
    </row>
    <row r="676" spans="1:33">
      <c r="A676" s="585">
        <v>662</v>
      </c>
      <c r="B676" s="587" t="s">
        <v>2946</v>
      </c>
      <c r="C676" s="585">
        <v>662</v>
      </c>
      <c r="D676" s="629" t="s">
        <v>2319</v>
      </c>
      <c r="E676" s="586" t="s">
        <v>421</v>
      </c>
      <c r="F676" s="675">
        <v>4.9949700000000007E-2</v>
      </c>
      <c r="G676" s="676">
        <v>3463.0023344000001</v>
      </c>
      <c r="H676" s="588">
        <v>487.2</v>
      </c>
      <c r="I676" s="587" t="s">
        <v>601</v>
      </c>
      <c r="J676" s="585">
        <v>2</v>
      </c>
      <c r="K676" s="585" t="s">
        <v>931</v>
      </c>
      <c r="L676" s="678">
        <v>348</v>
      </c>
      <c r="M676" s="649" t="s">
        <v>2533</v>
      </c>
      <c r="N676" s="679">
        <v>121.62599999999989</v>
      </c>
      <c r="O676" s="679">
        <v>243.24040000000008</v>
      </c>
      <c r="P676" s="589" t="s">
        <v>2534</v>
      </c>
      <c r="Q676" s="680">
        <v>336.67839999999967</v>
      </c>
      <c r="R676" s="696"/>
      <c r="S676" s="553"/>
      <c r="T676" s="553"/>
      <c r="U676" s="553"/>
      <c r="V676" s="553"/>
      <c r="W676" s="553"/>
      <c r="X676" s="553"/>
      <c r="Y676" s="553"/>
      <c r="Z676" s="553"/>
      <c r="AA676" s="553"/>
      <c r="AB676" s="554"/>
      <c r="AC676" s="555"/>
      <c r="AD676" s="556"/>
      <c r="AE676" s="556"/>
      <c r="AF676" s="556"/>
      <c r="AG676" s="556"/>
    </row>
    <row r="677" spans="1:33">
      <c r="A677" s="585">
        <v>663</v>
      </c>
      <c r="B677" s="587" t="s">
        <v>2947</v>
      </c>
      <c r="C677" s="585">
        <v>663</v>
      </c>
      <c r="D677" s="629" t="s">
        <v>2319</v>
      </c>
      <c r="E677" s="586" t="s">
        <v>422</v>
      </c>
      <c r="F677" s="675">
        <v>5.0318699999999994E-2</v>
      </c>
      <c r="G677" s="676">
        <v>2538.48</v>
      </c>
      <c r="H677" s="588">
        <v>487.2</v>
      </c>
      <c r="I677" s="587" t="s">
        <v>549</v>
      </c>
      <c r="J677" s="585">
        <v>1</v>
      </c>
      <c r="K677" s="585" t="s">
        <v>1587</v>
      </c>
      <c r="L677" s="678">
        <v>348</v>
      </c>
      <c r="M677" s="649" t="s">
        <v>2533</v>
      </c>
      <c r="N677" s="679">
        <v>67.071199999999919</v>
      </c>
      <c r="O677" s="679">
        <v>134.15400000000011</v>
      </c>
      <c r="P677" s="589" t="s">
        <v>2534</v>
      </c>
      <c r="Q677" s="680">
        <v>336.67839999999967</v>
      </c>
      <c r="R677" s="696"/>
      <c r="S677" s="553"/>
      <c r="T677" s="553"/>
      <c r="U677" s="553"/>
      <c r="V677" s="553"/>
      <c r="W677" s="553"/>
      <c r="X677" s="553"/>
      <c r="Y677" s="553"/>
      <c r="Z677" s="553"/>
      <c r="AA677" s="553"/>
      <c r="AB677" s="554"/>
      <c r="AC677" s="555"/>
      <c r="AD677" s="556"/>
      <c r="AE677" s="556"/>
      <c r="AF677" s="556"/>
      <c r="AG677" s="556"/>
    </row>
    <row r="678" spans="1:33">
      <c r="A678" s="585">
        <v>664</v>
      </c>
      <c r="B678" s="587" t="s">
        <v>2948</v>
      </c>
      <c r="C678" s="585">
        <v>664</v>
      </c>
      <c r="D678" s="629" t="s">
        <v>2319</v>
      </c>
      <c r="E678" s="586" t="s">
        <v>423</v>
      </c>
      <c r="F678" s="675">
        <v>5.72801E-2</v>
      </c>
      <c r="G678" s="676">
        <v>2538.48</v>
      </c>
      <c r="H678" s="588">
        <v>487.2</v>
      </c>
      <c r="I678" s="587" t="s">
        <v>549</v>
      </c>
      <c r="J678" s="585">
        <v>1</v>
      </c>
      <c r="K678" s="585" t="s">
        <v>1588</v>
      </c>
      <c r="L678" s="678">
        <v>348</v>
      </c>
      <c r="M678" s="649" t="s">
        <v>2533</v>
      </c>
      <c r="N678" s="679">
        <v>67.071199999999919</v>
      </c>
      <c r="O678" s="679">
        <v>134.15400000000011</v>
      </c>
      <c r="P678" s="589" t="s">
        <v>2534</v>
      </c>
      <c r="Q678" s="680">
        <v>336.67839999999967</v>
      </c>
      <c r="R678" s="696"/>
      <c r="S678" s="553"/>
      <c r="T678" s="553"/>
      <c r="U678" s="553"/>
      <c r="V678" s="553"/>
      <c r="W678" s="553"/>
      <c r="X678" s="553"/>
      <c r="Y678" s="553"/>
      <c r="Z678" s="553"/>
      <c r="AA678" s="553"/>
      <c r="AB678" s="554"/>
      <c r="AC678" s="555"/>
      <c r="AD678" s="556"/>
      <c r="AE678" s="556"/>
      <c r="AF678" s="556"/>
      <c r="AG678" s="556"/>
    </row>
    <row r="679" spans="1:33">
      <c r="A679" s="585">
        <v>665</v>
      </c>
      <c r="B679" s="587" t="s">
        <v>2949</v>
      </c>
      <c r="C679" s="585">
        <v>665</v>
      </c>
      <c r="D679" s="629" t="s">
        <v>2319</v>
      </c>
      <c r="E679" s="586" t="s">
        <v>2494</v>
      </c>
      <c r="F679" s="675">
        <v>4.8099200000000002E-2</v>
      </c>
      <c r="G679" s="676">
        <v>2538.48</v>
      </c>
      <c r="H679" s="588">
        <v>487.2</v>
      </c>
      <c r="I679" s="587" t="s">
        <v>549</v>
      </c>
      <c r="J679" s="585">
        <v>1</v>
      </c>
      <c r="K679" s="585" t="s">
        <v>2495</v>
      </c>
      <c r="L679" s="678">
        <v>348</v>
      </c>
      <c r="M679" s="649" t="s">
        <v>2533</v>
      </c>
      <c r="N679" s="679">
        <v>67.071199999999919</v>
      </c>
      <c r="O679" s="679">
        <v>134.15400000000011</v>
      </c>
      <c r="P679" s="589" t="s">
        <v>2534</v>
      </c>
      <c r="Q679" s="680">
        <v>336.67839999999967</v>
      </c>
      <c r="R679" s="696"/>
      <c r="S679" s="553"/>
      <c r="T679" s="553"/>
      <c r="U679" s="553"/>
      <c r="V679" s="553"/>
      <c r="W679" s="553"/>
      <c r="X679" s="553"/>
      <c r="Y679" s="553"/>
      <c r="Z679" s="553"/>
      <c r="AA679" s="553"/>
      <c r="AB679" s="554"/>
      <c r="AC679" s="555"/>
      <c r="AD679" s="556"/>
      <c r="AE679" s="556"/>
      <c r="AF679" s="556"/>
      <c r="AG679" s="556"/>
    </row>
    <row r="680" spans="1:33">
      <c r="A680" s="585">
        <v>666</v>
      </c>
      <c r="B680" s="587" t="s">
        <v>4500</v>
      </c>
      <c r="C680" s="585">
        <v>666</v>
      </c>
      <c r="D680" s="629" t="s">
        <v>2319</v>
      </c>
      <c r="E680" s="586" t="s">
        <v>4505</v>
      </c>
      <c r="F680" s="675">
        <v>4.8099200000000002E-2</v>
      </c>
      <c r="G680" s="676">
        <v>2538.48</v>
      </c>
      <c r="H680" s="588">
        <v>487.2</v>
      </c>
      <c r="I680" s="587" t="s">
        <v>549</v>
      </c>
      <c r="J680" s="585">
        <v>1</v>
      </c>
      <c r="K680" s="585" t="s">
        <v>4510</v>
      </c>
      <c r="L680" s="678">
        <v>348</v>
      </c>
      <c r="M680" s="649" t="s">
        <v>2533</v>
      </c>
      <c r="N680" s="679">
        <v>67.071199999999919</v>
      </c>
      <c r="O680" s="679">
        <v>134.15400000000011</v>
      </c>
      <c r="P680" s="589" t="s">
        <v>2534</v>
      </c>
      <c r="Q680" s="680">
        <v>336.67839999999967</v>
      </c>
      <c r="R680" s="696"/>
      <c r="S680" s="553"/>
      <c r="T680" s="553"/>
      <c r="U680" s="553"/>
      <c r="V680" s="553"/>
      <c r="W680" s="553"/>
      <c r="X680" s="553"/>
      <c r="Y680" s="553"/>
      <c r="Z680" s="553"/>
      <c r="AA680" s="553"/>
      <c r="AB680" s="554"/>
      <c r="AC680" s="555"/>
      <c r="AD680" s="556"/>
      <c r="AE680" s="556"/>
      <c r="AF680" s="556"/>
      <c r="AG680" s="556"/>
    </row>
    <row r="681" spans="1:33">
      <c r="A681" s="585">
        <v>667</v>
      </c>
      <c r="B681" s="587" t="s">
        <v>2950</v>
      </c>
      <c r="C681" s="585">
        <v>667</v>
      </c>
      <c r="D681" s="629" t="s">
        <v>2319</v>
      </c>
      <c r="E681" s="586" t="s">
        <v>424</v>
      </c>
      <c r="F681" s="675">
        <v>5.0083099999999998E-2</v>
      </c>
      <c r="G681" s="676">
        <v>2538.48</v>
      </c>
      <c r="H681" s="588">
        <v>487.2</v>
      </c>
      <c r="I681" s="587" t="s">
        <v>549</v>
      </c>
      <c r="J681" s="585">
        <v>1</v>
      </c>
      <c r="K681" s="585" t="s">
        <v>1589</v>
      </c>
      <c r="L681" s="678">
        <v>348</v>
      </c>
      <c r="M681" s="649" t="s">
        <v>2533</v>
      </c>
      <c r="N681" s="679">
        <v>67.071199999999919</v>
      </c>
      <c r="O681" s="679">
        <v>134.15400000000011</v>
      </c>
      <c r="P681" s="589" t="s">
        <v>2534</v>
      </c>
      <c r="Q681" s="680">
        <v>336.67839999999967</v>
      </c>
      <c r="R681" s="696"/>
      <c r="S681" s="553"/>
      <c r="T681" s="553"/>
      <c r="U681" s="553"/>
      <c r="V681" s="553"/>
      <c r="W681" s="553"/>
      <c r="X681" s="553"/>
      <c r="Y681" s="553"/>
      <c r="Z681" s="553"/>
      <c r="AA681" s="553"/>
      <c r="AB681" s="554"/>
      <c r="AC681" s="555"/>
      <c r="AD681" s="556"/>
      <c r="AE681" s="556"/>
      <c r="AF681" s="556"/>
      <c r="AG681" s="556"/>
    </row>
    <row r="682" spans="1:33">
      <c r="A682" s="585">
        <v>668</v>
      </c>
      <c r="B682" s="587" t="s">
        <v>2951</v>
      </c>
      <c r="C682" s="585">
        <v>668</v>
      </c>
      <c r="D682" s="629" t="s">
        <v>2319</v>
      </c>
      <c r="E682" s="586" t="s">
        <v>425</v>
      </c>
      <c r="F682" s="675">
        <v>5.72801E-2</v>
      </c>
      <c r="G682" s="676">
        <v>2538.48</v>
      </c>
      <c r="H682" s="588">
        <v>487.2</v>
      </c>
      <c r="I682" s="587" t="s">
        <v>549</v>
      </c>
      <c r="J682" s="585">
        <v>1</v>
      </c>
      <c r="K682" s="585" t="s">
        <v>1590</v>
      </c>
      <c r="L682" s="678">
        <v>348</v>
      </c>
      <c r="M682" s="649" t="s">
        <v>2533</v>
      </c>
      <c r="N682" s="679">
        <v>67.071199999999919</v>
      </c>
      <c r="O682" s="679">
        <v>134.15400000000011</v>
      </c>
      <c r="P682" s="589" t="s">
        <v>2534</v>
      </c>
      <c r="Q682" s="680">
        <v>336.67839999999967</v>
      </c>
      <c r="R682" s="696"/>
      <c r="S682" s="553"/>
      <c r="T682" s="553"/>
      <c r="U682" s="553"/>
      <c r="V682" s="553"/>
      <c r="W682" s="553"/>
      <c r="X682" s="553"/>
      <c r="Y682" s="553"/>
      <c r="Z682" s="553"/>
      <c r="AA682" s="553"/>
      <c r="AB682" s="554"/>
      <c r="AC682" s="555"/>
      <c r="AD682" s="556"/>
      <c r="AE682" s="556"/>
      <c r="AF682" s="556"/>
      <c r="AG682" s="556"/>
    </row>
    <row r="683" spans="1:33">
      <c r="A683" s="585">
        <v>669</v>
      </c>
      <c r="B683" s="587" t="s">
        <v>2952</v>
      </c>
      <c r="C683" s="585">
        <v>669</v>
      </c>
      <c r="D683" s="629" t="s">
        <v>2319</v>
      </c>
      <c r="E683" s="586" t="s">
        <v>426</v>
      </c>
      <c r="F683" s="675">
        <v>5.9450700000000002E-2</v>
      </c>
      <c r="G683" s="676">
        <v>2538.48</v>
      </c>
      <c r="H683" s="588">
        <v>487.2</v>
      </c>
      <c r="I683" s="587" t="s">
        <v>549</v>
      </c>
      <c r="J683" s="585">
        <v>1</v>
      </c>
      <c r="K683" s="585" t="s">
        <v>1591</v>
      </c>
      <c r="L683" s="678">
        <v>348</v>
      </c>
      <c r="M683" s="649" t="s">
        <v>2533</v>
      </c>
      <c r="N683" s="679">
        <v>67.071199999999919</v>
      </c>
      <c r="O683" s="679">
        <v>134.15400000000011</v>
      </c>
      <c r="P683" s="589" t="s">
        <v>2534</v>
      </c>
      <c r="Q683" s="680">
        <v>336.67839999999967</v>
      </c>
      <c r="R683" s="696"/>
      <c r="S683" s="553"/>
      <c r="T683" s="553"/>
      <c r="U683" s="553"/>
      <c r="V683" s="553"/>
      <c r="W683" s="553"/>
      <c r="X683" s="553"/>
      <c r="Y683" s="553"/>
      <c r="Z683" s="553"/>
      <c r="AA683" s="553"/>
      <c r="AB683" s="554"/>
      <c r="AC683" s="555"/>
      <c r="AD683" s="556"/>
      <c r="AE683" s="556"/>
      <c r="AF683" s="556"/>
      <c r="AG683" s="556"/>
    </row>
    <row r="684" spans="1:33">
      <c r="A684" s="585">
        <v>670</v>
      </c>
      <c r="B684" s="587" t="s">
        <v>4552</v>
      </c>
      <c r="C684" s="585">
        <v>670</v>
      </c>
      <c r="D684" s="629" t="s">
        <v>2319</v>
      </c>
      <c r="E684" s="586" t="s">
        <v>4563</v>
      </c>
      <c r="F684" s="675">
        <v>4.67968E-2</v>
      </c>
      <c r="G684" s="676">
        <v>2538.48</v>
      </c>
      <c r="H684" s="588">
        <v>487.2</v>
      </c>
      <c r="I684" s="587" t="s">
        <v>549</v>
      </c>
      <c r="J684" s="585">
        <v>1</v>
      </c>
      <c r="K684" s="585" t="s">
        <v>4577</v>
      </c>
      <c r="L684" s="678">
        <v>348</v>
      </c>
      <c r="M684" s="649" t="s">
        <v>2533</v>
      </c>
      <c r="N684" s="679">
        <v>67.071199999999919</v>
      </c>
      <c r="O684" s="679">
        <v>134.15400000000011</v>
      </c>
      <c r="P684" s="589" t="s">
        <v>2534</v>
      </c>
      <c r="Q684" s="680">
        <v>336.67839999999967</v>
      </c>
      <c r="R684" s="696"/>
      <c r="S684" s="553"/>
      <c r="T684" s="553"/>
      <c r="U684" s="553"/>
      <c r="V684" s="553"/>
      <c r="W684" s="553"/>
      <c r="X684" s="553"/>
      <c r="Y684" s="553"/>
      <c r="Z684" s="553"/>
      <c r="AA684" s="553"/>
      <c r="AB684" s="554"/>
      <c r="AC684" s="555"/>
      <c r="AD684" s="556"/>
      <c r="AE684" s="556"/>
      <c r="AF684" s="556"/>
      <c r="AG684" s="556"/>
    </row>
    <row r="685" spans="1:33">
      <c r="A685" s="585">
        <v>671</v>
      </c>
      <c r="B685" s="587" t="s">
        <v>4368</v>
      </c>
      <c r="C685" s="585">
        <v>671</v>
      </c>
      <c r="D685" s="629" t="s">
        <v>2319</v>
      </c>
      <c r="E685" s="586" t="s">
        <v>4369</v>
      </c>
      <c r="F685" s="675">
        <v>4.67968E-2</v>
      </c>
      <c r="G685" s="676">
        <v>2538.48</v>
      </c>
      <c r="H685" s="588">
        <v>487.2</v>
      </c>
      <c r="I685" s="587" t="s">
        <v>549</v>
      </c>
      <c r="J685" s="585">
        <v>1</v>
      </c>
      <c r="K685" s="585" t="s">
        <v>4370</v>
      </c>
      <c r="L685" s="678">
        <v>348</v>
      </c>
      <c r="M685" s="649" t="s">
        <v>2533</v>
      </c>
      <c r="N685" s="679">
        <v>67.071199999999919</v>
      </c>
      <c r="O685" s="679">
        <v>134.15400000000011</v>
      </c>
      <c r="P685" s="589" t="s">
        <v>2534</v>
      </c>
      <c r="Q685" s="680">
        <v>336.67839999999967</v>
      </c>
      <c r="R685" s="696"/>
      <c r="S685" s="553"/>
      <c r="T685" s="553"/>
      <c r="U685" s="553"/>
      <c r="V685" s="553"/>
      <c r="W685" s="553"/>
      <c r="X685" s="553"/>
      <c r="Y685" s="553"/>
      <c r="Z685" s="553"/>
      <c r="AA685" s="553"/>
      <c r="AB685" s="554"/>
      <c r="AC685" s="555"/>
      <c r="AD685" s="556"/>
      <c r="AE685" s="556"/>
      <c r="AF685" s="556"/>
      <c r="AG685" s="556"/>
    </row>
    <row r="686" spans="1:33">
      <c r="A686" s="585">
        <v>672</v>
      </c>
      <c r="B686" s="587" t="s">
        <v>4553</v>
      </c>
      <c r="C686" s="585">
        <v>672</v>
      </c>
      <c r="D686" s="629" t="s">
        <v>2319</v>
      </c>
      <c r="E686" s="586" t="s">
        <v>4564</v>
      </c>
      <c r="F686" s="675">
        <v>4.67968E-2</v>
      </c>
      <c r="G686" s="676">
        <v>2538.48</v>
      </c>
      <c r="H686" s="588">
        <v>487.2</v>
      </c>
      <c r="I686" s="587" t="s">
        <v>549</v>
      </c>
      <c r="J686" s="585">
        <v>1</v>
      </c>
      <c r="K686" s="585" t="s">
        <v>4578</v>
      </c>
      <c r="L686" s="678">
        <v>348</v>
      </c>
      <c r="M686" s="649" t="s">
        <v>2533</v>
      </c>
      <c r="N686" s="679">
        <v>67.071199999999919</v>
      </c>
      <c r="O686" s="679">
        <v>134.15400000000011</v>
      </c>
      <c r="P686" s="589" t="s">
        <v>2534</v>
      </c>
      <c r="Q686" s="680">
        <v>336.67839999999967</v>
      </c>
      <c r="R686" s="696"/>
      <c r="S686" s="553"/>
      <c r="T686" s="553"/>
      <c r="U686" s="553"/>
      <c r="V686" s="553"/>
      <c r="W686" s="553"/>
      <c r="X686" s="553"/>
      <c r="Y686" s="553"/>
      <c r="Z686" s="553"/>
      <c r="AA686" s="553"/>
      <c r="AB686" s="554"/>
      <c r="AC686" s="555"/>
      <c r="AD686" s="556"/>
      <c r="AE686" s="556"/>
      <c r="AF686" s="556"/>
      <c r="AG686" s="556"/>
    </row>
    <row r="687" spans="1:33">
      <c r="A687" s="585">
        <v>673</v>
      </c>
      <c r="B687" s="587" t="s">
        <v>3466</v>
      </c>
      <c r="C687" s="585">
        <v>673</v>
      </c>
      <c r="D687" s="629" t="s">
        <v>2319</v>
      </c>
      <c r="E687" s="586" t="s">
        <v>3467</v>
      </c>
      <c r="F687" s="675">
        <v>4.67968E-2</v>
      </c>
      <c r="G687" s="676">
        <v>2538.48</v>
      </c>
      <c r="H687" s="588">
        <v>487.2</v>
      </c>
      <c r="I687" s="587" t="s">
        <v>549</v>
      </c>
      <c r="J687" s="585">
        <v>1</v>
      </c>
      <c r="K687" s="585" t="s">
        <v>3468</v>
      </c>
      <c r="L687" s="678">
        <v>348</v>
      </c>
      <c r="M687" s="649" t="s">
        <v>2533</v>
      </c>
      <c r="N687" s="679">
        <v>67.071199999999919</v>
      </c>
      <c r="O687" s="679">
        <v>134.15400000000011</v>
      </c>
      <c r="P687" s="589" t="s">
        <v>2534</v>
      </c>
      <c r="Q687" s="680">
        <v>336.67839999999967</v>
      </c>
      <c r="R687" s="696"/>
      <c r="S687" s="553"/>
      <c r="T687" s="553"/>
      <c r="U687" s="553"/>
      <c r="V687" s="553"/>
      <c r="W687" s="553"/>
      <c r="X687" s="553"/>
      <c r="Y687" s="553"/>
      <c r="Z687" s="553"/>
      <c r="AA687" s="553"/>
      <c r="AB687" s="554"/>
      <c r="AC687" s="555"/>
      <c r="AD687" s="556"/>
      <c r="AE687" s="556"/>
      <c r="AF687" s="556"/>
      <c r="AG687" s="556"/>
    </row>
    <row r="688" spans="1:33">
      <c r="A688" s="585">
        <v>674</v>
      </c>
      <c r="B688" s="587" t="s">
        <v>4554</v>
      </c>
      <c r="C688" s="585">
        <v>674</v>
      </c>
      <c r="D688" s="629" t="s">
        <v>2319</v>
      </c>
      <c r="E688" s="586" t="s">
        <v>4565</v>
      </c>
      <c r="F688" s="675">
        <v>4.67968E-2</v>
      </c>
      <c r="G688" s="676">
        <v>2538.48</v>
      </c>
      <c r="H688" s="588">
        <v>487.2</v>
      </c>
      <c r="I688" s="587" t="s">
        <v>549</v>
      </c>
      <c r="J688" s="585">
        <v>1</v>
      </c>
      <c r="K688" s="585" t="s">
        <v>4579</v>
      </c>
      <c r="L688" s="678">
        <v>348</v>
      </c>
      <c r="M688" s="649" t="s">
        <v>2533</v>
      </c>
      <c r="N688" s="679">
        <v>67.071199999999919</v>
      </c>
      <c r="O688" s="679">
        <v>134.15400000000011</v>
      </c>
      <c r="P688" s="589" t="s">
        <v>2534</v>
      </c>
      <c r="Q688" s="680">
        <v>336.67839999999967</v>
      </c>
      <c r="R688" s="696"/>
      <c r="S688" s="553"/>
      <c r="T688" s="553"/>
      <c r="U688" s="553"/>
      <c r="V688" s="553"/>
      <c r="W688" s="553"/>
      <c r="X688" s="553"/>
      <c r="Y688" s="553"/>
      <c r="Z688" s="553"/>
      <c r="AA688" s="553"/>
      <c r="AB688" s="554"/>
      <c r="AC688" s="555"/>
      <c r="AD688" s="556"/>
      <c r="AE688" s="556"/>
      <c r="AF688" s="556"/>
      <c r="AG688" s="556"/>
    </row>
    <row r="689" spans="1:33">
      <c r="A689" s="585">
        <v>675</v>
      </c>
      <c r="B689" s="587" t="s">
        <v>2953</v>
      </c>
      <c r="C689" s="585">
        <v>675</v>
      </c>
      <c r="D689" s="629" t="s">
        <v>2319</v>
      </c>
      <c r="E689" s="586" t="s">
        <v>427</v>
      </c>
      <c r="F689" s="675">
        <v>5.9450700000000002E-2</v>
      </c>
      <c r="G689" s="676">
        <v>2538.48</v>
      </c>
      <c r="H689" s="588">
        <v>487.2</v>
      </c>
      <c r="I689" s="587" t="s">
        <v>549</v>
      </c>
      <c r="J689" s="585">
        <v>1</v>
      </c>
      <c r="K689" s="585" t="s">
        <v>1592</v>
      </c>
      <c r="L689" s="678">
        <v>348</v>
      </c>
      <c r="M689" s="649" t="s">
        <v>2533</v>
      </c>
      <c r="N689" s="679">
        <v>67.071199999999919</v>
      </c>
      <c r="O689" s="679">
        <v>134.15400000000011</v>
      </c>
      <c r="P689" s="589" t="s">
        <v>2534</v>
      </c>
      <c r="Q689" s="680">
        <v>336.67839999999967</v>
      </c>
      <c r="R689" s="696"/>
      <c r="S689" s="553"/>
      <c r="T689" s="553"/>
      <c r="U689" s="553"/>
      <c r="V689" s="553"/>
      <c r="W689" s="553"/>
      <c r="X689" s="553"/>
      <c r="Y689" s="553"/>
      <c r="Z689" s="553"/>
      <c r="AA689" s="553"/>
      <c r="AB689" s="554"/>
      <c r="AC689" s="555"/>
      <c r="AD689" s="556"/>
      <c r="AE689" s="556"/>
      <c r="AF689" s="556"/>
      <c r="AG689" s="556"/>
    </row>
    <row r="690" spans="1:33">
      <c r="A690" s="585">
        <v>676</v>
      </c>
      <c r="B690" s="587" t="s">
        <v>2954</v>
      </c>
      <c r="C690" s="585">
        <v>676</v>
      </c>
      <c r="D690" s="629" t="s">
        <v>2319</v>
      </c>
      <c r="E690" s="586" t="s">
        <v>428</v>
      </c>
      <c r="F690" s="675">
        <v>4.67968E-2</v>
      </c>
      <c r="G690" s="676">
        <v>2538.48</v>
      </c>
      <c r="H690" s="588">
        <v>487.2</v>
      </c>
      <c r="I690" s="587" t="s">
        <v>549</v>
      </c>
      <c r="J690" s="585">
        <v>1</v>
      </c>
      <c r="K690" s="585" t="s">
        <v>1593</v>
      </c>
      <c r="L690" s="678">
        <v>348</v>
      </c>
      <c r="M690" s="649" t="s">
        <v>2533</v>
      </c>
      <c r="N690" s="679">
        <v>67.071199999999919</v>
      </c>
      <c r="O690" s="679">
        <v>134.15400000000011</v>
      </c>
      <c r="P690" s="589" t="s">
        <v>2534</v>
      </c>
      <c r="Q690" s="680">
        <v>336.67839999999967</v>
      </c>
      <c r="R690" s="696"/>
      <c r="S690" s="553"/>
      <c r="T690" s="553"/>
      <c r="U690" s="553"/>
      <c r="V690" s="553"/>
      <c r="W690" s="553"/>
      <c r="X690" s="553"/>
      <c r="Y690" s="553"/>
      <c r="Z690" s="553"/>
      <c r="AA690" s="553"/>
      <c r="AB690" s="554"/>
      <c r="AC690" s="555"/>
      <c r="AD690" s="556"/>
      <c r="AE690" s="556"/>
      <c r="AF690" s="556"/>
      <c r="AG690" s="556"/>
    </row>
    <row r="691" spans="1:33">
      <c r="A691" s="585">
        <v>677</v>
      </c>
      <c r="B691" s="587" t="s">
        <v>2955</v>
      </c>
      <c r="C691" s="585">
        <v>677</v>
      </c>
      <c r="D691" s="629" t="s">
        <v>2319</v>
      </c>
      <c r="E691" s="586" t="s">
        <v>429</v>
      </c>
      <c r="F691" s="675">
        <v>4.6935000000000004E-2</v>
      </c>
      <c r="G691" s="676">
        <v>2538.48</v>
      </c>
      <c r="H691" s="588">
        <v>487.2</v>
      </c>
      <c r="I691" s="587" t="s">
        <v>549</v>
      </c>
      <c r="J691" s="585">
        <v>1</v>
      </c>
      <c r="K691" s="585" t="s">
        <v>1594</v>
      </c>
      <c r="L691" s="678">
        <v>348</v>
      </c>
      <c r="M691" s="649" t="s">
        <v>2533</v>
      </c>
      <c r="N691" s="679">
        <v>67.071199999999919</v>
      </c>
      <c r="O691" s="679">
        <v>134.15400000000011</v>
      </c>
      <c r="P691" s="589" t="s">
        <v>2534</v>
      </c>
      <c r="Q691" s="680">
        <v>336.67839999999967</v>
      </c>
      <c r="R691" s="696"/>
      <c r="S691" s="553"/>
      <c r="T691" s="553"/>
      <c r="U691" s="553"/>
      <c r="V691" s="553"/>
      <c r="W691" s="553"/>
      <c r="X691" s="553"/>
      <c r="Y691" s="553"/>
      <c r="Z691" s="553"/>
      <c r="AA691" s="553"/>
      <c r="AB691" s="554"/>
      <c r="AC691" s="555"/>
      <c r="AD691" s="556"/>
      <c r="AE691" s="556"/>
      <c r="AF691" s="556"/>
      <c r="AG691" s="556"/>
    </row>
    <row r="692" spans="1:33">
      <c r="A692" s="585">
        <v>678</v>
      </c>
      <c r="B692" s="587" t="s">
        <v>2956</v>
      </c>
      <c r="C692" s="585">
        <v>678</v>
      </c>
      <c r="D692" s="629" t="s">
        <v>2319</v>
      </c>
      <c r="E692" s="586" t="s">
        <v>430</v>
      </c>
      <c r="F692" s="675">
        <v>6.4761899999999997E-2</v>
      </c>
      <c r="G692" s="676">
        <v>2538.48</v>
      </c>
      <c r="H692" s="588">
        <v>487.2</v>
      </c>
      <c r="I692" s="587" t="s">
        <v>549</v>
      </c>
      <c r="J692" s="585">
        <v>1</v>
      </c>
      <c r="K692" s="585" t="s">
        <v>1595</v>
      </c>
      <c r="L692" s="678">
        <v>348</v>
      </c>
      <c r="M692" s="649" t="s">
        <v>2533</v>
      </c>
      <c r="N692" s="679">
        <v>67.071199999999919</v>
      </c>
      <c r="O692" s="679">
        <v>134.15400000000011</v>
      </c>
      <c r="P692" s="589" t="s">
        <v>2534</v>
      </c>
      <c r="Q692" s="680">
        <v>336.67839999999967</v>
      </c>
      <c r="R692" s="696"/>
      <c r="S692" s="553"/>
      <c r="T692" s="553"/>
      <c r="U692" s="553"/>
      <c r="V692" s="553"/>
      <c r="W692" s="553"/>
      <c r="X692" s="553"/>
      <c r="Y692" s="553"/>
      <c r="Z692" s="553"/>
      <c r="AA692" s="553"/>
      <c r="AB692" s="554"/>
      <c r="AC692" s="555"/>
      <c r="AD692" s="556"/>
      <c r="AE692" s="556"/>
      <c r="AF692" s="556"/>
      <c r="AG692" s="556"/>
    </row>
    <row r="693" spans="1:33">
      <c r="A693" s="585">
        <v>679</v>
      </c>
      <c r="B693" s="587" t="s">
        <v>2957</v>
      </c>
      <c r="C693" s="585">
        <v>679</v>
      </c>
      <c r="D693" s="629" t="s">
        <v>2319</v>
      </c>
      <c r="E693" s="586" t="s">
        <v>431</v>
      </c>
      <c r="F693" s="675">
        <v>4.1773600000000001E-2</v>
      </c>
      <c r="G693" s="676">
        <v>2538.48</v>
      </c>
      <c r="H693" s="588">
        <v>487.2</v>
      </c>
      <c r="I693" s="587" t="s">
        <v>549</v>
      </c>
      <c r="J693" s="585">
        <v>1</v>
      </c>
      <c r="K693" s="585" t="s">
        <v>1596</v>
      </c>
      <c r="L693" s="678">
        <v>348</v>
      </c>
      <c r="M693" s="649" t="s">
        <v>2533</v>
      </c>
      <c r="N693" s="679">
        <v>67.071199999999919</v>
      </c>
      <c r="O693" s="679">
        <v>134.15400000000011</v>
      </c>
      <c r="P693" s="589" t="s">
        <v>2534</v>
      </c>
      <c r="Q693" s="680">
        <v>336.67839999999967</v>
      </c>
      <c r="R693" s="696"/>
      <c r="S693" s="553"/>
      <c r="T693" s="553"/>
      <c r="U693" s="553"/>
      <c r="V693" s="553"/>
      <c r="W693" s="553"/>
      <c r="X693" s="553"/>
      <c r="Y693" s="553"/>
      <c r="Z693" s="553"/>
      <c r="AA693" s="553"/>
      <c r="AB693" s="554"/>
      <c r="AC693" s="555"/>
      <c r="AD693" s="556"/>
      <c r="AE693" s="556"/>
      <c r="AF693" s="556"/>
      <c r="AG693" s="556"/>
    </row>
    <row r="694" spans="1:33" s="620" customFormat="1">
      <c r="A694" s="585">
        <v>680</v>
      </c>
      <c r="B694" s="587" t="s">
        <v>2958</v>
      </c>
      <c r="C694" s="585">
        <v>680</v>
      </c>
      <c r="D694" s="629" t="s">
        <v>2319</v>
      </c>
      <c r="E694" s="586" t="s">
        <v>2496</v>
      </c>
      <c r="F694" s="675">
        <v>4.1773600000000001E-2</v>
      </c>
      <c r="G694" s="676">
        <v>2538.48</v>
      </c>
      <c r="H694" s="588">
        <v>487.2</v>
      </c>
      <c r="I694" s="587" t="s">
        <v>549</v>
      </c>
      <c r="J694" s="585">
        <v>1</v>
      </c>
      <c r="K694" s="585" t="s">
        <v>2497</v>
      </c>
      <c r="L694" s="678">
        <v>348</v>
      </c>
      <c r="M694" s="649" t="s">
        <v>2533</v>
      </c>
      <c r="N694" s="679">
        <v>67.071199999999919</v>
      </c>
      <c r="O694" s="679">
        <v>134.15400000000011</v>
      </c>
      <c r="P694" s="589" t="s">
        <v>2534</v>
      </c>
      <c r="Q694" s="680">
        <v>336.67839999999967</v>
      </c>
      <c r="R694" s="696"/>
      <c r="S694" s="590"/>
      <c r="T694" s="590"/>
      <c r="U694" s="590"/>
      <c r="V694" s="590"/>
      <c r="W694" s="590"/>
      <c r="X694" s="590"/>
      <c r="Y694" s="590"/>
      <c r="Z694" s="590"/>
      <c r="AA694" s="590"/>
      <c r="AB694" s="591"/>
      <c r="AC694" s="592"/>
      <c r="AD694" s="593"/>
      <c r="AE694" s="593"/>
      <c r="AF694" s="593"/>
      <c r="AG694" s="593"/>
    </row>
    <row r="695" spans="1:33" s="620" customFormat="1">
      <c r="A695" s="585">
        <v>681</v>
      </c>
      <c r="B695" s="587" t="s">
        <v>2959</v>
      </c>
      <c r="C695" s="585">
        <v>681</v>
      </c>
      <c r="D695" s="629" t="s">
        <v>2319</v>
      </c>
      <c r="E695" s="586" t="s">
        <v>432</v>
      </c>
      <c r="F695" s="675">
        <v>4.1773600000000001E-2</v>
      </c>
      <c r="G695" s="676">
        <v>2538.48</v>
      </c>
      <c r="H695" s="588">
        <v>487.2</v>
      </c>
      <c r="I695" s="587" t="s">
        <v>549</v>
      </c>
      <c r="J695" s="585">
        <v>1</v>
      </c>
      <c r="K695" s="585" t="s">
        <v>1597</v>
      </c>
      <c r="L695" s="678">
        <v>348</v>
      </c>
      <c r="M695" s="649" t="s">
        <v>2533</v>
      </c>
      <c r="N695" s="679">
        <v>67.071199999999919</v>
      </c>
      <c r="O695" s="679">
        <v>134.15400000000011</v>
      </c>
      <c r="P695" s="589" t="s">
        <v>2534</v>
      </c>
      <c r="Q695" s="680">
        <v>336.67839999999967</v>
      </c>
      <c r="R695" s="696"/>
      <c r="S695" s="590"/>
      <c r="T695" s="590"/>
      <c r="U695" s="590"/>
      <c r="V695" s="590"/>
      <c r="W695" s="590"/>
      <c r="X695" s="590"/>
      <c r="Y695" s="590"/>
      <c r="Z695" s="590"/>
      <c r="AA695" s="590"/>
      <c r="AB695" s="591"/>
      <c r="AC695" s="592"/>
      <c r="AD695" s="593"/>
      <c r="AE695" s="593"/>
      <c r="AF695" s="593"/>
      <c r="AG695" s="593"/>
    </row>
    <row r="696" spans="1:33" s="620" customFormat="1">
      <c r="A696" s="585">
        <v>682</v>
      </c>
      <c r="B696" s="587" t="s">
        <v>4403</v>
      </c>
      <c r="C696" s="585">
        <v>682</v>
      </c>
      <c r="D696" s="629" t="s">
        <v>2319</v>
      </c>
      <c r="E696" s="586" t="s">
        <v>4392</v>
      </c>
      <c r="F696" s="675">
        <v>4.1773600000000001E-2</v>
      </c>
      <c r="G696" s="676">
        <v>2538.48</v>
      </c>
      <c r="H696" s="588">
        <v>487.2</v>
      </c>
      <c r="I696" s="587" t="s">
        <v>549</v>
      </c>
      <c r="J696" s="585">
        <v>1</v>
      </c>
      <c r="K696" s="585" t="s">
        <v>4393</v>
      </c>
      <c r="L696" s="678">
        <v>348</v>
      </c>
      <c r="M696" s="649" t="s">
        <v>2533</v>
      </c>
      <c r="N696" s="679">
        <v>67.071199999999919</v>
      </c>
      <c r="O696" s="679">
        <v>134.15400000000011</v>
      </c>
      <c r="P696" s="589" t="s">
        <v>2534</v>
      </c>
      <c r="Q696" s="680">
        <v>336.67839999999967</v>
      </c>
      <c r="R696" s="696"/>
      <c r="S696" s="590"/>
      <c r="T696" s="590"/>
      <c r="U696" s="590"/>
      <c r="V696" s="590"/>
      <c r="W696" s="590"/>
      <c r="X696" s="590"/>
      <c r="Y696" s="590"/>
      <c r="Z696" s="590"/>
      <c r="AA696" s="590"/>
      <c r="AB696" s="591"/>
      <c r="AC696" s="592"/>
      <c r="AD696" s="593"/>
      <c r="AE696" s="593"/>
      <c r="AF696" s="593"/>
      <c r="AG696" s="593"/>
    </row>
    <row r="697" spans="1:33" s="620" customFormat="1">
      <c r="A697" s="585">
        <v>683</v>
      </c>
      <c r="B697" s="587" t="s">
        <v>4404</v>
      </c>
      <c r="C697" s="585">
        <v>683</v>
      </c>
      <c r="D697" s="629" t="s">
        <v>2319</v>
      </c>
      <c r="E697" s="586" t="s">
        <v>4394</v>
      </c>
      <c r="F697" s="675">
        <v>4.1773600000000001E-2</v>
      </c>
      <c r="G697" s="676">
        <v>2538.48</v>
      </c>
      <c r="H697" s="588">
        <v>487.2</v>
      </c>
      <c r="I697" s="587" t="s">
        <v>549</v>
      </c>
      <c r="J697" s="585">
        <v>1</v>
      </c>
      <c r="K697" s="585" t="s">
        <v>4395</v>
      </c>
      <c r="L697" s="678">
        <v>348</v>
      </c>
      <c r="M697" s="649" t="s">
        <v>2533</v>
      </c>
      <c r="N697" s="679">
        <v>67.071199999999919</v>
      </c>
      <c r="O697" s="679">
        <v>134.15400000000011</v>
      </c>
      <c r="P697" s="589" t="s">
        <v>2534</v>
      </c>
      <c r="Q697" s="680">
        <v>336.67839999999967</v>
      </c>
      <c r="R697" s="696"/>
      <c r="S697" s="590"/>
      <c r="T697" s="590"/>
      <c r="U697" s="590"/>
      <c r="V697" s="590"/>
      <c r="W697" s="590"/>
      <c r="X697" s="590"/>
      <c r="Y697" s="590"/>
      <c r="Z697" s="590"/>
      <c r="AA697" s="590"/>
      <c r="AB697" s="591"/>
      <c r="AC697" s="592"/>
      <c r="AD697" s="593"/>
      <c r="AE697" s="593"/>
      <c r="AF697" s="593"/>
      <c r="AG697" s="593"/>
    </row>
    <row r="698" spans="1:33" s="620" customFormat="1">
      <c r="A698" s="585">
        <v>684</v>
      </c>
      <c r="B698" s="587" t="s">
        <v>4405</v>
      </c>
      <c r="C698" s="585">
        <v>684</v>
      </c>
      <c r="D698" s="629" t="s">
        <v>2319</v>
      </c>
      <c r="E698" s="586" t="s">
        <v>4396</v>
      </c>
      <c r="F698" s="675">
        <v>4.1773600000000001E-2</v>
      </c>
      <c r="G698" s="676">
        <v>2538.48</v>
      </c>
      <c r="H698" s="588">
        <v>487.2</v>
      </c>
      <c r="I698" s="587" t="s">
        <v>549</v>
      </c>
      <c r="J698" s="585">
        <v>1</v>
      </c>
      <c r="K698" s="585" t="s">
        <v>4397</v>
      </c>
      <c r="L698" s="678">
        <v>348</v>
      </c>
      <c r="M698" s="649" t="s">
        <v>2533</v>
      </c>
      <c r="N698" s="679">
        <v>67.071199999999919</v>
      </c>
      <c r="O698" s="679">
        <v>134.15400000000011</v>
      </c>
      <c r="P698" s="589" t="s">
        <v>2534</v>
      </c>
      <c r="Q698" s="680">
        <v>336.67839999999967</v>
      </c>
      <c r="R698" s="696"/>
      <c r="S698" s="590"/>
      <c r="T698" s="590"/>
      <c r="U698" s="590"/>
      <c r="V698" s="590"/>
      <c r="W698" s="590"/>
      <c r="X698" s="590"/>
      <c r="Y698" s="590"/>
      <c r="Z698" s="590"/>
      <c r="AA698" s="590"/>
      <c r="AB698" s="591"/>
      <c r="AC698" s="592"/>
      <c r="AD698" s="593"/>
      <c r="AE698" s="593"/>
      <c r="AF698" s="593"/>
      <c r="AG698" s="593"/>
    </row>
    <row r="699" spans="1:33" s="620" customFormat="1">
      <c r="A699" s="585">
        <v>685</v>
      </c>
      <c r="B699" s="587" t="s">
        <v>4406</v>
      </c>
      <c r="C699" s="585">
        <v>685</v>
      </c>
      <c r="D699" s="629" t="s">
        <v>2319</v>
      </c>
      <c r="E699" s="586" t="s">
        <v>4398</v>
      </c>
      <c r="F699" s="675">
        <v>4.1773600000000001E-2</v>
      </c>
      <c r="G699" s="676">
        <v>2538.48</v>
      </c>
      <c r="H699" s="588">
        <v>487.2</v>
      </c>
      <c r="I699" s="587" t="s">
        <v>549</v>
      </c>
      <c r="J699" s="585">
        <v>1</v>
      </c>
      <c r="K699" s="585" t="s">
        <v>4399</v>
      </c>
      <c r="L699" s="678">
        <v>348</v>
      </c>
      <c r="M699" s="649" t="s">
        <v>2533</v>
      </c>
      <c r="N699" s="679">
        <v>67.071199999999919</v>
      </c>
      <c r="O699" s="679">
        <v>134.15400000000011</v>
      </c>
      <c r="P699" s="589" t="s">
        <v>2534</v>
      </c>
      <c r="Q699" s="680">
        <v>336.67839999999967</v>
      </c>
      <c r="R699" s="696"/>
      <c r="S699" s="590"/>
      <c r="T699" s="590"/>
      <c r="U699" s="590"/>
      <c r="V699" s="590"/>
      <c r="W699" s="590"/>
      <c r="X699" s="590"/>
      <c r="Y699" s="590"/>
      <c r="Z699" s="590"/>
      <c r="AA699" s="590"/>
      <c r="AB699" s="591"/>
      <c r="AC699" s="592"/>
      <c r="AD699" s="593"/>
      <c r="AE699" s="593"/>
      <c r="AF699" s="593"/>
      <c r="AG699" s="593"/>
    </row>
    <row r="700" spans="1:33" s="620" customFormat="1">
      <c r="A700" s="585">
        <v>686</v>
      </c>
      <c r="B700" s="587" t="s">
        <v>2960</v>
      </c>
      <c r="C700" s="585">
        <v>686</v>
      </c>
      <c r="D700" s="629" t="s">
        <v>2319</v>
      </c>
      <c r="E700" s="586" t="s">
        <v>433</v>
      </c>
      <c r="F700" s="675">
        <v>5.1864600000000004E-2</v>
      </c>
      <c r="G700" s="676">
        <v>3463.0023344000001</v>
      </c>
      <c r="H700" s="588">
        <v>487.2</v>
      </c>
      <c r="I700" s="587" t="s">
        <v>601</v>
      </c>
      <c r="J700" s="585">
        <v>2</v>
      </c>
      <c r="K700" s="585" t="s">
        <v>1598</v>
      </c>
      <c r="L700" s="678">
        <v>348</v>
      </c>
      <c r="M700" s="649" t="s">
        <v>2533</v>
      </c>
      <c r="N700" s="679">
        <v>121.62599999999989</v>
      </c>
      <c r="O700" s="679">
        <v>243.24040000000008</v>
      </c>
      <c r="P700" s="589" t="s">
        <v>2534</v>
      </c>
      <c r="Q700" s="680">
        <v>336.67839999999967</v>
      </c>
      <c r="R700" s="696"/>
    </row>
    <row r="701" spans="1:33" s="620" customFormat="1">
      <c r="A701" s="585">
        <v>687</v>
      </c>
      <c r="B701" s="587" t="s">
        <v>2961</v>
      </c>
      <c r="C701" s="585">
        <v>687</v>
      </c>
      <c r="D701" s="629" t="s">
        <v>2319</v>
      </c>
      <c r="E701" s="586" t="s">
        <v>434</v>
      </c>
      <c r="F701" s="675">
        <v>5.1864600000000004E-2</v>
      </c>
      <c r="G701" s="676">
        <v>3463.0023344000001</v>
      </c>
      <c r="H701" s="588">
        <v>487.2</v>
      </c>
      <c r="I701" s="587" t="s">
        <v>601</v>
      </c>
      <c r="J701" s="585">
        <v>2</v>
      </c>
      <c r="K701" s="585" t="s">
        <v>1599</v>
      </c>
      <c r="L701" s="678">
        <v>348</v>
      </c>
      <c r="M701" s="649" t="s">
        <v>2533</v>
      </c>
      <c r="N701" s="679">
        <v>121.62599999999989</v>
      </c>
      <c r="O701" s="679">
        <v>243.24040000000008</v>
      </c>
      <c r="P701" s="589" t="s">
        <v>2534</v>
      </c>
      <c r="Q701" s="680">
        <v>336.67839999999967</v>
      </c>
      <c r="R701" s="696"/>
    </row>
    <row r="702" spans="1:33">
      <c r="A702" s="585">
        <v>688</v>
      </c>
      <c r="B702" s="587" t="s">
        <v>2962</v>
      </c>
      <c r="C702" s="585">
        <v>688</v>
      </c>
      <c r="D702" s="629" t="s">
        <v>2319</v>
      </c>
      <c r="E702" s="586" t="s">
        <v>435</v>
      </c>
      <c r="F702" s="675">
        <v>5.1864600000000004E-2</v>
      </c>
      <c r="G702" s="676">
        <v>3463.0023344000001</v>
      </c>
      <c r="H702" s="588">
        <v>487.2</v>
      </c>
      <c r="I702" s="587" t="s">
        <v>601</v>
      </c>
      <c r="J702" s="585">
        <v>2</v>
      </c>
      <c r="K702" s="585" t="s">
        <v>1600</v>
      </c>
      <c r="L702" s="678">
        <v>348</v>
      </c>
      <c r="M702" s="649" t="s">
        <v>2533</v>
      </c>
      <c r="N702" s="679">
        <v>121.62599999999989</v>
      </c>
      <c r="O702" s="679">
        <v>243.24040000000008</v>
      </c>
      <c r="P702" s="589" t="s">
        <v>2534</v>
      </c>
      <c r="Q702" s="680">
        <v>336.67839999999967</v>
      </c>
      <c r="R702" s="696"/>
    </row>
    <row r="703" spans="1:33">
      <c r="A703" s="585">
        <v>689</v>
      </c>
      <c r="B703" s="587" t="s">
        <v>2963</v>
      </c>
      <c r="C703" s="585">
        <v>689</v>
      </c>
      <c r="D703" s="629" t="s">
        <v>2319</v>
      </c>
      <c r="E703" s="586" t="s">
        <v>436</v>
      </c>
      <c r="F703" s="675">
        <v>6.1929800000000007E-2</v>
      </c>
      <c r="G703" s="676">
        <v>2538.48</v>
      </c>
      <c r="H703" s="588">
        <v>487.2</v>
      </c>
      <c r="I703" s="587" t="s">
        <v>549</v>
      </c>
      <c r="J703" s="585">
        <v>1</v>
      </c>
      <c r="K703" s="585" t="s">
        <v>1601</v>
      </c>
      <c r="L703" s="678">
        <v>348</v>
      </c>
      <c r="M703" s="649" t="s">
        <v>2533</v>
      </c>
      <c r="N703" s="679">
        <v>67.071199999999919</v>
      </c>
      <c r="O703" s="679">
        <v>134.15400000000011</v>
      </c>
      <c r="P703" s="589" t="s">
        <v>2534</v>
      </c>
      <c r="Q703" s="680">
        <v>336.67839999999967</v>
      </c>
      <c r="R703" s="696"/>
    </row>
    <row r="704" spans="1:33">
      <c r="A704" s="585">
        <v>690</v>
      </c>
      <c r="B704" s="587" t="s">
        <v>2964</v>
      </c>
      <c r="C704" s="585">
        <v>690</v>
      </c>
      <c r="D704" s="629" t="s">
        <v>2319</v>
      </c>
      <c r="E704" s="586" t="s">
        <v>2965</v>
      </c>
      <c r="F704" s="675">
        <v>4.10938E-2</v>
      </c>
      <c r="G704" s="676">
        <v>2538.48</v>
      </c>
      <c r="H704" s="588">
        <v>487.2</v>
      </c>
      <c r="I704" s="587" t="s">
        <v>549</v>
      </c>
      <c r="J704" s="585">
        <v>1</v>
      </c>
      <c r="K704" s="585" t="s">
        <v>2966</v>
      </c>
      <c r="L704" s="678">
        <v>348</v>
      </c>
      <c r="M704" s="649" t="s">
        <v>2533</v>
      </c>
      <c r="N704" s="679">
        <v>67.071199999999919</v>
      </c>
      <c r="O704" s="679">
        <v>134.15400000000011</v>
      </c>
      <c r="P704" s="589" t="s">
        <v>2534</v>
      </c>
      <c r="Q704" s="680">
        <v>336.67839999999967</v>
      </c>
      <c r="R704" s="696"/>
    </row>
    <row r="705" spans="1:18">
      <c r="A705" s="585">
        <v>691</v>
      </c>
      <c r="B705" s="587" t="s">
        <v>2967</v>
      </c>
      <c r="C705" s="585">
        <v>691</v>
      </c>
      <c r="D705" s="629" t="s">
        <v>2319</v>
      </c>
      <c r="E705" s="586" t="s">
        <v>437</v>
      </c>
      <c r="F705" s="675">
        <v>5.4233200000000002E-2</v>
      </c>
      <c r="G705" s="676">
        <v>2538.48</v>
      </c>
      <c r="H705" s="588">
        <v>487.2</v>
      </c>
      <c r="I705" s="587" t="s">
        <v>549</v>
      </c>
      <c r="J705" s="585">
        <v>1</v>
      </c>
      <c r="K705" s="585" t="s">
        <v>1602</v>
      </c>
      <c r="L705" s="678">
        <v>348</v>
      </c>
      <c r="M705" s="649" t="s">
        <v>2533</v>
      </c>
      <c r="N705" s="679">
        <v>67.071199999999919</v>
      </c>
      <c r="O705" s="679">
        <v>134.15400000000011</v>
      </c>
      <c r="P705" s="589" t="s">
        <v>2534</v>
      </c>
      <c r="Q705" s="680">
        <v>336.67839999999967</v>
      </c>
      <c r="R705" s="696"/>
    </row>
    <row r="706" spans="1:18">
      <c r="A706" s="585">
        <v>692</v>
      </c>
      <c r="B706" s="587" t="s">
        <v>2968</v>
      </c>
      <c r="C706" s="585">
        <v>692</v>
      </c>
      <c r="D706" s="629" t="s">
        <v>2319</v>
      </c>
      <c r="E706" s="586" t="s">
        <v>438</v>
      </c>
      <c r="F706" s="675">
        <v>5.4973899999999999E-2</v>
      </c>
      <c r="G706" s="676">
        <v>2538.48</v>
      </c>
      <c r="H706" s="588">
        <v>487.2</v>
      </c>
      <c r="I706" s="587" t="s">
        <v>549</v>
      </c>
      <c r="J706" s="585">
        <v>1</v>
      </c>
      <c r="K706" s="585" t="s">
        <v>1603</v>
      </c>
      <c r="L706" s="678">
        <v>348</v>
      </c>
      <c r="M706" s="649" t="s">
        <v>2533</v>
      </c>
      <c r="N706" s="679">
        <v>67.071199999999919</v>
      </c>
      <c r="O706" s="679">
        <v>134.15400000000011</v>
      </c>
      <c r="P706" s="589" t="s">
        <v>2534</v>
      </c>
      <c r="Q706" s="680">
        <v>336.67839999999967</v>
      </c>
      <c r="R706" s="696"/>
    </row>
    <row r="707" spans="1:18">
      <c r="A707" s="585">
        <v>693</v>
      </c>
      <c r="B707" s="587" t="s">
        <v>2969</v>
      </c>
      <c r="C707" s="585">
        <v>693</v>
      </c>
      <c r="D707" s="629" t="s">
        <v>2319</v>
      </c>
      <c r="E707" s="586" t="s">
        <v>439</v>
      </c>
      <c r="F707" s="675">
        <v>4.5920300000000004E-2</v>
      </c>
      <c r="G707" s="676">
        <v>2538.48</v>
      </c>
      <c r="H707" s="588">
        <v>487.2</v>
      </c>
      <c r="I707" s="587" t="s">
        <v>549</v>
      </c>
      <c r="J707" s="585">
        <v>1</v>
      </c>
      <c r="K707" s="585" t="s">
        <v>1604</v>
      </c>
      <c r="L707" s="678">
        <v>348</v>
      </c>
      <c r="M707" s="649" t="s">
        <v>2533</v>
      </c>
      <c r="N707" s="679">
        <v>67.071199999999919</v>
      </c>
      <c r="O707" s="679">
        <v>134.15400000000011</v>
      </c>
      <c r="P707" s="589" t="s">
        <v>2534</v>
      </c>
      <c r="Q707" s="680">
        <v>336.67839999999967</v>
      </c>
      <c r="R707" s="696"/>
    </row>
    <row r="708" spans="1:18">
      <c r="A708" s="585">
        <v>694</v>
      </c>
      <c r="B708" s="587" t="s">
        <v>2970</v>
      </c>
      <c r="C708" s="585">
        <v>694</v>
      </c>
      <c r="D708" s="629" t="s">
        <v>2319</v>
      </c>
      <c r="E708" s="586" t="s">
        <v>440</v>
      </c>
      <c r="F708" s="675">
        <v>4.1309600000000002E-2</v>
      </c>
      <c r="G708" s="676">
        <v>2538.48</v>
      </c>
      <c r="H708" s="588">
        <v>487.2</v>
      </c>
      <c r="I708" s="587" t="s">
        <v>549</v>
      </c>
      <c r="J708" s="585">
        <v>1</v>
      </c>
      <c r="K708" s="585" t="s">
        <v>1605</v>
      </c>
      <c r="L708" s="678">
        <v>348</v>
      </c>
      <c r="M708" s="649" t="s">
        <v>2533</v>
      </c>
      <c r="N708" s="679">
        <v>67.071199999999919</v>
      </c>
      <c r="O708" s="679">
        <v>134.15400000000011</v>
      </c>
      <c r="P708" s="589" t="s">
        <v>2534</v>
      </c>
      <c r="Q708" s="680">
        <v>336.67839999999967</v>
      </c>
      <c r="R708" s="696"/>
    </row>
    <row r="709" spans="1:18">
      <c r="A709" s="585">
        <v>695</v>
      </c>
      <c r="B709" s="587" t="s">
        <v>2971</v>
      </c>
      <c r="C709" s="585">
        <v>695</v>
      </c>
      <c r="D709" s="629" t="s">
        <v>2319</v>
      </c>
      <c r="E709" s="586" t="s">
        <v>441</v>
      </c>
      <c r="F709" s="675">
        <v>4.8639700000000001E-2</v>
      </c>
      <c r="G709" s="676">
        <v>3463.0023344000001</v>
      </c>
      <c r="H709" s="588">
        <v>487.2</v>
      </c>
      <c r="I709" s="587" t="s">
        <v>601</v>
      </c>
      <c r="J709" s="585">
        <v>2</v>
      </c>
      <c r="K709" s="585" t="s">
        <v>1606</v>
      </c>
      <c r="L709" s="678">
        <v>348</v>
      </c>
      <c r="M709" s="649" t="s">
        <v>2533</v>
      </c>
      <c r="N709" s="679">
        <v>121.62599999999989</v>
      </c>
      <c r="O709" s="679">
        <v>243.24040000000008</v>
      </c>
      <c r="P709" s="589" t="s">
        <v>2534</v>
      </c>
      <c r="Q709" s="680">
        <v>336.67839999999967</v>
      </c>
      <c r="R709" s="696"/>
    </row>
    <row r="710" spans="1:18">
      <c r="A710" s="585">
        <v>696</v>
      </c>
      <c r="B710" s="587" t="s">
        <v>2972</v>
      </c>
      <c r="C710" s="585">
        <v>696</v>
      </c>
      <c r="D710" s="629" t="s">
        <v>2319</v>
      </c>
      <c r="E710" s="586" t="s">
        <v>442</v>
      </c>
      <c r="F710" s="675">
        <v>4.8639700000000001E-2</v>
      </c>
      <c r="G710" s="676">
        <v>3463.0023344000001</v>
      </c>
      <c r="H710" s="588">
        <v>487.2</v>
      </c>
      <c r="I710" s="587" t="s">
        <v>601</v>
      </c>
      <c r="J710" s="585">
        <v>2</v>
      </c>
      <c r="K710" s="585" t="s">
        <v>1607</v>
      </c>
      <c r="L710" s="678">
        <v>348</v>
      </c>
      <c r="M710" s="649" t="s">
        <v>2533</v>
      </c>
      <c r="N710" s="679">
        <v>121.62599999999989</v>
      </c>
      <c r="O710" s="679">
        <v>243.24040000000008</v>
      </c>
      <c r="P710" s="589" t="s">
        <v>2534</v>
      </c>
      <c r="Q710" s="680">
        <v>336.67839999999967</v>
      </c>
      <c r="R710" s="696"/>
    </row>
    <row r="711" spans="1:18">
      <c r="A711" s="585">
        <v>697</v>
      </c>
      <c r="B711" s="587" t="s">
        <v>2973</v>
      </c>
      <c r="C711" s="585">
        <v>697</v>
      </c>
      <c r="D711" s="629" t="s">
        <v>2319</v>
      </c>
      <c r="E711" s="586" t="s">
        <v>443</v>
      </c>
      <c r="F711" s="675">
        <v>3.8879999999999998E-2</v>
      </c>
      <c r="G711" s="676">
        <v>2538.48</v>
      </c>
      <c r="H711" s="588">
        <v>487.2</v>
      </c>
      <c r="I711" s="587" t="s">
        <v>549</v>
      </c>
      <c r="J711" s="585">
        <v>1</v>
      </c>
      <c r="K711" s="585" t="s">
        <v>1608</v>
      </c>
      <c r="L711" s="678">
        <v>348</v>
      </c>
      <c r="M711" s="649" t="s">
        <v>2533</v>
      </c>
      <c r="N711" s="679">
        <v>67.071199999999919</v>
      </c>
      <c r="O711" s="679">
        <v>134.15400000000011</v>
      </c>
      <c r="P711" s="589" t="s">
        <v>2534</v>
      </c>
      <c r="Q711" s="680">
        <v>336.67839999999967</v>
      </c>
      <c r="R711" s="696"/>
    </row>
    <row r="712" spans="1:18">
      <c r="A712" s="585">
        <v>698</v>
      </c>
      <c r="B712" s="587" t="s">
        <v>2974</v>
      </c>
      <c r="C712" s="585">
        <v>698</v>
      </c>
      <c r="D712" s="629" t="s">
        <v>2319</v>
      </c>
      <c r="E712" s="586" t="s">
        <v>444</v>
      </c>
      <c r="F712" s="675">
        <v>4.8639700000000001E-2</v>
      </c>
      <c r="G712" s="676">
        <v>3463.0023344000001</v>
      </c>
      <c r="H712" s="588">
        <v>487.2</v>
      </c>
      <c r="I712" s="587" t="s">
        <v>601</v>
      </c>
      <c r="J712" s="585">
        <v>2</v>
      </c>
      <c r="K712" s="585" t="s">
        <v>1609</v>
      </c>
      <c r="L712" s="678">
        <v>348</v>
      </c>
      <c r="M712" s="649" t="s">
        <v>2533</v>
      </c>
      <c r="N712" s="679">
        <v>121.62599999999989</v>
      </c>
      <c r="O712" s="679">
        <v>243.24040000000008</v>
      </c>
      <c r="P712" s="589" t="s">
        <v>2534</v>
      </c>
      <c r="Q712" s="680">
        <v>336.67839999999967</v>
      </c>
      <c r="R712" s="696"/>
    </row>
    <row r="713" spans="1:18" s="648" customFormat="1">
      <c r="A713" s="585">
        <v>699</v>
      </c>
      <c r="B713" s="587" t="s">
        <v>3469</v>
      </c>
      <c r="C713" s="585">
        <v>699</v>
      </c>
      <c r="D713" s="629" t="s">
        <v>2319</v>
      </c>
      <c r="E713" s="586" t="s">
        <v>3470</v>
      </c>
      <c r="F713" s="675">
        <v>4.5670000000000002E-2</v>
      </c>
      <c r="G713" s="676">
        <v>2538.48</v>
      </c>
      <c r="H713" s="588">
        <v>487.2</v>
      </c>
      <c r="I713" s="587" t="s">
        <v>549</v>
      </c>
      <c r="J713" s="585">
        <v>1</v>
      </c>
      <c r="K713" s="585" t="s">
        <v>3471</v>
      </c>
      <c r="L713" s="678">
        <v>348</v>
      </c>
      <c r="M713" s="649" t="s">
        <v>2533</v>
      </c>
      <c r="N713" s="679">
        <v>67.071199999999919</v>
      </c>
      <c r="O713" s="679">
        <v>134.15</v>
      </c>
      <c r="P713" s="589" t="s">
        <v>2534</v>
      </c>
      <c r="Q713" s="680">
        <v>336.67839999999967</v>
      </c>
      <c r="R713" s="696"/>
    </row>
    <row r="714" spans="1:18">
      <c r="A714" s="585">
        <v>700</v>
      </c>
      <c r="B714" s="587" t="s">
        <v>2975</v>
      </c>
      <c r="C714" s="585">
        <v>700</v>
      </c>
      <c r="D714" s="629" t="s">
        <v>2320</v>
      </c>
      <c r="E714" s="586" t="s">
        <v>445</v>
      </c>
      <c r="F714" s="675">
        <v>4.8639700000000001E-2</v>
      </c>
      <c r="G714" s="676">
        <v>3463.0023344000001</v>
      </c>
      <c r="H714" s="588">
        <v>487.2</v>
      </c>
      <c r="I714" s="587" t="s">
        <v>601</v>
      </c>
      <c r="J714" s="585">
        <v>2</v>
      </c>
      <c r="K714" s="585" t="s">
        <v>1610</v>
      </c>
      <c r="L714" s="678">
        <v>348</v>
      </c>
      <c r="M714" s="649" t="s">
        <v>2533</v>
      </c>
      <c r="N714" s="679">
        <v>121.62599999999989</v>
      </c>
      <c r="O714" s="679">
        <v>243.24040000000008</v>
      </c>
      <c r="P714" s="589" t="s">
        <v>2534</v>
      </c>
      <c r="Q714" s="680">
        <v>336.67839999999967</v>
      </c>
      <c r="R714" s="696"/>
    </row>
    <row r="715" spans="1:18">
      <c r="A715" s="585">
        <v>701</v>
      </c>
      <c r="B715" s="587" t="s">
        <v>2976</v>
      </c>
      <c r="C715" s="585">
        <v>701</v>
      </c>
      <c r="D715" s="629" t="s">
        <v>2320</v>
      </c>
      <c r="E715" s="586" t="s">
        <v>446</v>
      </c>
      <c r="F715" s="675">
        <v>4.8639700000000001E-2</v>
      </c>
      <c r="G715" s="676">
        <v>3463.0023344000001</v>
      </c>
      <c r="H715" s="588">
        <v>487.2</v>
      </c>
      <c r="I715" s="587" t="s">
        <v>601</v>
      </c>
      <c r="J715" s="585">
        <v>2</v>
      </c>
      <c r="K715" s="585" t="s">
        <v>1611</v>
      </c>
      <c r="L715" s="678">
        <v>348</v>
      </c>
      <c r="M715" s="649" t="s">
        <v>2533</v>
      </c>
      <c r="N715" s="679">
        <v>121.62599999999989</v>
      </c>
      <c r="O715" s="679">
        <v>243.24040000000008</v>
      </c>
      <c r="P715" s="589" t="s">
        <v>2534</v>
      </c>
      <c r="Q715" s="680">
        <v>336.67839999999967</v>
      </c>
      <c r="R715" s="696"/>
    </row>
    <row r="716" spans="1:18">
      <c r="A716" s="585"/>
      <c r="B716" s="587"/>
      <c r="C716" s="585"/>
      <c r="D716" s="629"/>
      <c r="E716" s="586"/>
      <c r="F716" s="675"/>
      <c r="G716" s="676"/>
      <c r="H716" s="588"/>
      <c r="I716" s="587"/>
      <c r="J716" s="585"/>
      <c r="K716" s="585"/>
      <c r="L716" s="678"/>
      <c r="M716" s="649"/>
      <c r="N716" s="679"/>
      <c r="O716" s="679"/>
      <c r="P716" s="589"/>
      <c r="Q716" s="680"/>
      <c r="R716" s="696"/>
    </row>
    <row r="717" spans="1:18">
      <c r="A717" s="585"/>
      <c r="B717" s="587"/>
      <c r="C717" s="585"/>
      <c r="D717" s="629"/>
      <c r="E717" s="586"/>
      <c r="F717" s="675"/>
      <c r="G717" s="676"/>
      <c r="H717" s="588"/>
      <c r="I717" s="587"/>
      <c r="J717" s="585"/>
      <c r="K717" s="585"/>
      <c r="L717" s="678"/>
      <c r="M717" s="649"/>
      <c r="N717" s="679"/>
      <c r="O717" s="679"/>
      <c r="P717" s="589"/>
      <c r="Q717" s="680"/>
      <c r="R717" s="696"/>
    </row>
    <row r="718" spans="1:18">
      <c r="A718" s="585"/>
      <c r="B718" s="587"/>
      <c r="C718" s="585"/>
      <c r="D718" s="629"/>
      <c r="E718" s="586"/>
      <c r="F718" s="675"/>
      <c r="G718" s="676"/>
      <c r="H718" s="588"/>
      <c r="I718" s="587"/>
      <c r="J718" s="585"/>
      <c r="K718" s="585"/>
      <c r="L718" s="678"/>
      <c r="M718" s="649"/>
      <c r="N718" s="679"/>
      <c r="O718" s="679"/>
      <c r="P718" s="589"/>
      <c r="Q718" s="680"/>
      <c r="R718" s="696"/>
    </row>
    <row r="719" spans="1:18">
      <c r="A719" s="585"/>
      <c r="B719" s="587"/>
      <c r="C719" s="585"/>
      <c r="D719" s="629"/>
      <c r="E719" s="586"/>
      <c r="F719" s="675"/>
      <c r="G719" s="676"/>
      <c r="H719" s="588"/>
      <c r="I719" s="587"/>
      <c r="J719" s="585"/>
      <c r="K719" s="585"/>
      <c r="L719" s="678"/>
      <c r="M719" s="649"/>
      <c r="N719" s="679"/>
      <c r="O719" s="679"/>
      <c r="P719" s="589"/>
      <c r="Q719" s="680"/>
      <c r="R719" s="696"/>
    </row>
    <row r="720" spans="1:18">
      <c r="A720" s="585"/>
      <c r="B720" s="587"/>
      <c r="C720" s="585"/>
      <c r="D720" s="629"/>
      <c r="E720" s="586"/>
      <c r="F720" s="675"/>
      <c r="G720" s="676"/>
      <c r="H720" s="588"/>
      <c r="I720" s="587"/>
      <c r="J720" s="585"/>
      <c r="K720" s="585"/>
      <c r="L720" s="678"/>
      <c r="M720" s="649"/>
      <c r="N720" s="679"/>
      <c r="O720" s="679"/>
      <c r="P720" s="589"/>
      <c r="Q720" s="680"/>
      <c r="R720" s="696"/>
    </row>
    <row r="721" spans="1:18">
      <c r="A721" s="585"/>
      <c r="B721" s="587"/>
      <c r="C721" s="585"/>
      <c r="D721" s="629"/>
      <c r="E721" s="586"/>
      <c r="F721" s="675"/>
      <c r="G721" s="676"/>
      <c r="H721" s="588"/>
      <c r="I721" s="587"/>
      <c r="J721" s="585"/>
      <c r="K721" s="585"/>
      <c r="L721" s="678"/>
      <c r="M721" s="649"/>
      <c r="N721" s="679"/>
      <c r="O721" s="679"/>
      <c r="P721" s="589"/>
      <c r="Q721" s="680"/>
      <c r="R721" s="696"/>
    </row>
    <row r="722" spans="1:18">
      <c r="A722" s="585"/>
      <c r="B722" s="587"/>
      <c r="C722" s="585"/>
      <c r="D722" s="629"/>
      <c r="E722" s="586"/>
      <c r="F722" s="675"/>
      <c r="G722" s="676"/>
      <c r="H722" s="588"/>
      <c r="I722" s="587"/>
      <c r="J722" s="585"/>
      <c r="K722" s="585"/>
      <c r="L722" s="678"/>
      <c r="M722" s="649"/>
      <c r="N722" s="679"/>
      <c r="O722" s="679"/>
      <c r="P722" s="589"/>
      <c r="Q722" s="680"/>
      <c r="R722" s="696"/>
    </row>
    <row r="723" spans="1:18">
      <c r="A723" s="585"/>
      <c r="B723" s="587"/>
      <c r="C723" s="585"/>
      <c r="D723" s="629"/>
      <c r="E723" s="586"/>
      <c r="F723" s="675"/>
      <c r="G723" s="676"/>
      <c r="H723" s="588"/>
      <c r="I723" s="587"/>
      <c r="J723" s="585"/>
      <c r="K723" s="585"/>
      <c r="L723" s="678"/>
      <c r="M723" s="649"/>
      <c r="N723" s="679"/>
      <c r="O723" s="679"/>
      <c r="P723" s="589"/>
      <c r="Q723" s="680"/>
      <c r="R723" s="696"/>
    </row>
    <row r="724" spans="1:18">
      <c r="A724" s="585"/>
      <c r="B724" s="587"/>
      <c r="C724" s="585"/>
      <c r="D724" s="629"/>
      <c r="E724" s="586"/>
      <c r="F724" s="675"/>
      <c r="G724" s="676"/>
      <c r="H724" s="588"/>
      <c r="I724" s="587"/>
      <c r="J724" s="585"/>
      <c r="K724" s="585"/>
      <c r="L724" s="678"/>
      <c r="M724" s="649"/>
      <c r="N724" s="679"/>
      <c r="O724" s="679"/>
      <c r="P724" s="589"/>
      <c r="Q724" s="680"/>
      <c r="R724" s="696"/>
    </row>
    <row r="725" spans="1:18">
      <c r="A725" s="585"/>
      <c r="B725" s="587"/>
      <c r="C725" s="585"/>
      <c r="D725" s="629"/>
      <c r="E725" s="586"/>
      <c r="F725" s="675"/>
      <c r="G725" s="676"/>
      <c r="H725" s="588"/>
      <c r="I725" s="587"/>
      <c r="J725" s="585"/>
      <c r="K725" s="585"/>
      <c r="L725" s="678"/>
      <c r="M725" s="649"/>
      <c r="N725" s="679"/>
      <c r="O725" s="679"/>
      <c r="P725" s="589"/>
      <c r="Q725" s="680"/>
      <c r="R725" s="696"/>
    </row>
    <row r="726" spans="1:18">
      <c r="A726" s="585"/>
      <c r="B726" s="587"/>
      <c r="C726" s="585"/>
      <c r="D726" s="629"/>
      <c r="E726" s="586"/>
      <c r="F726" s="675"/>
      <c r="G726" s="676"/>
      <c r="H726" s="588"/>
      <c r="I726" s="587"/>
      <c r="J726" s="585"/>
      <c r="K726" s="585"/>
      <c r="L726" s="678"/>
      <c r="M726" s="649"/>
      <c r="N726" s="679"/>
      <c r="O726" s="679"/>
      <c r="P726" s="589"/>
      <c r="Q726" s="680"/>
      <c r="R726" s="696"/>
    </row>
    <row r="727" spans="1:18">
      <c r="A727" s="585"/>
      <c r="B727" s="587"/>
      <c r="C727" s="585"/>
      <c r="D727" s="629"/>
      <c r="E727" s="586"/>
      <c r="F727" s="675"/>
      <c r="G727" s="676"/>
      <c r="H727" s="588"/>
      <c r="I727" s="587"/>
      <c r="J727" s="585"/>
      <c r="K727" s="585"/>
      <c r="L727" s="678"/>
      <c r="M727" s="649"/>
      <c r="N727" s="679"/>
      <c r="O727" s="679"/>
      <c r="P727" s="589"/>
      <c r="Q727" s="680"/>
      <c r="R727" s="696"/>
    </row>
    <row r="728" spans="1:18">
      <c r="A728" s="585"/>
      <c r="B728" s="587"/>
      <c r="C728" s="585"/>
      <c r="D728" s="629"/>
      <c r="E728" s="586"/>
      <c r="F728" s="675"/>
      <c r="G728" s="676"/>
      <c r="H728" s="588"/>
      <c r="I728" s="587"/>
      <c r="J728" s="585"/>
      <c r="K728" s="585"/>
      <c r="L728" s="678"/>
      <c r="M728" s="649"/>
      <c r="N728" s="679"/>
      <c r="O728" s="679"/>
      <c r="P728" s="589"/>
      <c r="Q728" s="680"/>
      <c r="R728" s="696"/>
    </row>
    <row r="729" spans="1:18">
      <c r="A729" s="585"/>
      <c r="B729" s="587"/>
      <c r="C729" s="585"/>
      <c r="D729" s="629"/>
      <c r="E729" s="586"/>
      <c r="F729" s="675"/>
      <c r="G729" s="676"/>
      <c r="H729" s="588"/>
      <c r="I729" s="587"/>
      <c r="J729" s="585"/>
      <c r="K729" s="585"/>
      <c r="L729" s="678"/>
      <c r="M729" s="649"/>
      <c r="N729" s="679"/>
      <c r="O729" s="679"/>
      <c r="P729" s="589"/>
      <c r="Q729" s="680"/>
      <c r="R729" s="696"/>
    </row>
    <row r="730" spans="1:18">
      <c r="A730" s="585"/>
      <c r="B730" s="587"/>
      <c r="C730" s="585"/>
      <c r="D730" s="629"/>
      <c r="E730" s="586"/>
      <c r="F730" s="675"/>
      <c r="G730" s="676"/>
      <c r="H730" s="588"/>
      <c r="I730" s="587"/>
      <c r="J730" s="585"/>
      <c r="K730" s="585"/>
      <c r="L730" s="678"/>
      <c r="M730" s="649"/>
      <c r="N730" s="679"/>
      <c r="O730" s="679"/>
      <c r="P730" s="589"/>
      <c r="Q730" s="680"/>
      <c r="R730" s="696"/>
    </row>
    <row r="731" spans="1:18">
      <c r="A731" s="585"/>
      <c r="B731" s="587"/>
      <c r="C731" s="585"/>
      <c r="D731" s="629"/>
      <c r="E731" s="586"/>
      <c r="F731" s="675"/>
      <c r="G731" s="676"/>
      <c r="H731" s="588"/>
      <c r="I731" s="587"/>
      <c r="J731" s="585"/>
      <c r="K731" s="585"/>
      <c r="L731" s="678"/>
      <c r="M731" s="649"/>
      <c r="N731" s="679"/>
      <c r="O731" s="679"/>
      <c r="P731" s="589"/>
      <c r="Q731" s="680"/>
      <c r="R731" s="696"/>
    </row>
    <row r="732" spans="1:18">
      <c r="A732" s="585"/>
      <c r="B732" s="587"/>
      <c r="C732" s="585"/>
      <c r="D732" s="629"/>
      <c r="E732" s="586"/>
      <c r="F732" s="675"/>
      <c r="G732" s="676"/>
      <c r="H732" s="588"/>
      <c r="I732" s="587"/>
      <c r="J732" s="585"/>
      <c r="K732" s="585"/>
      <c r="L732" s="678"/>
      <c r="M732" s="649"/>
      <c r="N732" s="679"/>
      <c r="O732" s="679"/>
      <c r="P732" s="589"/>
      <c r="Q732" s="680"/>
      <c r="R732" s="696"/>
    </row>
    <row r="733" spans="1:18">
      <c r="A733" s="585"/>
      <c r="B733" s="587"/>
      <c r="C733" s="585"/>
      <c r="D733" s="629"/>
      <c r="E733" s="586"/>
      <c r="F733" s="675"/>
      <c r="G733" s="676"/>
      <c r="H733" s="588"/>
      <c r="I733" s="587"/>
      <c r="J733" s="585"/>
      <c r="K733" s="585"/>
      <c r="L733" s="678"/>
      <c r="M733" s="649"/>
      <c r="N733" s="679"/>
      <c r="O733" s="679"/>
      <c r="P733" s="589"/>
      <c r="Q733" s="680"/>
      <c r="R733" s="696"/>
    </row>
    <row r="734" spans="1:18">
      <c r="A734" s="585"/>
      <c r="B734" s="587"/>
      <c r="C734" s="585"/>
      <c r="D734" s="629"/>
      <c r="E734" s="586"/>
      <c r="F734" s="675"/>
      <c r="G734" s="676"/>
      <c r="H734" s="588"/>
      <c r="I734" s="587"/>
      <c r="J734" s="585"/>
      <c r="K734" s="585"/>
      <c r="L734" s="678"/>
      <c r="M734" s="649"/>
      <c r="N734" s="679"/>
      <c r="O734" s="679"/>
      <c r="P734" s="589"/>
      <c r="Q734" s="680"/>
      <c r="R734" s="696"/>
    </row>
    <row r="735" spans="1:18">
      <c r="A735" s="585"/>
      <c r="B735" s="587"/>
      <c r="C735" s="585"/>
      <c r="D735" s="629"/>
      <c r="E735" s="586"/>
      <c r="F735" s="675"/>
      <c r="G735" s="676"/>
      <c r="H735" s="588"/>
      <c r="I735" s="587"/>
      <c r="J735" s="585"/>
      <c r="K735" s="585"/>
      <c r="L735" s="678"/>
      <c r="M735" s="649"/>
      <c r="N735" s="679"/>
      <c r="O735" s="679"/>
      <c r="P735" s="589"/>
      <c r="Q735" s="680"/>
      <c r="R735" s="696"/>
    </row>
    <row r="736" spans="1:18">
      <c r="A736" s="585"/>
      <c r="B736" s="587"/>
      <c r="C736" s="585"/>
      <c r="D736" s="629"/>
      <c r="E736" s="586"/>
      <c r="F736" s="675"/>
      <c r="G736" s="676"/>
      <c r="H736" s="588"/>
      <c r="I736" s="587"/>
      <c r="J736" s="585"/>
      <c r="K736" s="585"/>
      <c r="L736" s="678"/>
      <c r="M736" s="649"/>
      <c r="N736" s="679"/>
      <c r="O736" s="679"/>
      <c r="P736" s="589"/>
      <c r="Q736" s="680"/>
      <c r="R736" s="696"/>
    </row>
    <row r="737" spans="1:18">
      <c r="A737" s="585"/>
      <c r="B737" s="587"/>
      <c r="C737" s="585"/>
      <c r="D737" s="629"/>
      <c r="E737" s="586"/>
      <c r="F737" s="675"/>
      <c r="G737" s="676"/>
      <c r="H737" s="588"/>
      <c r="I737" s="587"/>
      <c r="J737" s="585"/>
      <c r="K737" s="585"/>
      <c r="L737" s="678"/>
      <c r="M737" s="649"/>
      <c r="N737" s="679"/>
      <c r="O737" s="679"/>
      <c r="P737" s="589"/>
      <c r="Q737" s="680"/>
      <c r="R737" s="696"/>
    </row>
    <row r="738" spans="1:18">
      <c r="A738" s="585"/>
      <c r="B738" s="587"/>
      <c r="C738" s="585"/>
      <c r="D738" s="629"/>
      <c r="E738" s="586"/>
      <c r="F738" s="675"/>
      <c r="G738" s="676"/>
      <c r="H738" s="588"/>
      <c r="I738" s="587"/>
      <c r="J738" s="585"/>
      <c r="K738" s="585"/>
      <c r="L738" s="678"/>
      <c r="M738" s="649"/>
      <c r="N738" s="679"/>
      <c r="O738" s="679"/>
      <c r="P738" s="589"/>
      <c r="Q738" s="680"/>
      <c r="R738" s="696"/>
    </row>
    <row r="739" spans="1:18">
      <c r="A739" s="585"/>
      <c r="B739" s="587"/>
      <c r="C739" s="585"/>
      <c r="D739" s="629"/>
      <c r="E739" s="586"/>
      <c r="F739" s="675"/>
      <c r="G739" s="676"/>
      <c r="H739" s="588"/>
      <c r="I739" s="587"/>
      <c r="J739" s="585"/>
      <c r="K739" s="585"/>
      <c r="L739" s="678"/>
      <c r="M739" s="649"/>
      <c r="N739" s="679"/>
      <c r="O739" s="679"/>
      <c r="P739" s="589"/>
      <c r="Q739" s="680"/>
      <c r="R739" s="696"/>
    </row>
    <row r="740" spans="1:18">
      <c r="A740" s="585"/>
      <c r="B740" s="587"/>
      <c r="C740" s="585"/>
      <c r="D740" s="629"/>
      <c r="E740" s="586"/>
      <c r="F740" s="675"/>
      <c r="G740" s="676"/>
      <c r="H740" s="588"/>
      <c r="I740" s="587"/>
      <c r="J740" s="585"/>
      <c r="K740" s="585"/>
      <c r="L740" s="678"/>
      <c r="M740" s="649"/>
      <c r="N740" s="679"/>
      <c r="O740" s="679"/>
      <c r="P740" s="589"/>
      <c r="Q740" s="680"/>
      <c r="R740" s="696"/>
    </row>
    <row r="741" spans="1:18">
      <c r="A741" s="585"/>
      <c r="B741" s="587"/>
      <c r="C741" s="585"/>
      <c r="D741" s="629"/>
      <c r="E741" s="586"/>
      <c r="F741" s="675"/>
      <c r="G741" s="676"/>
      <c r="H741" s="588"/>
      <c r="I741" s="587"/>
      <c r="J741" s="585"/>
      <c r="K741" s="585"/>
      <c r="L741" s="678"/>
      <c r="M741" s="649"/>
      <c r="N741" s="679"/>
      <c r="O741" s="679"/>
      <c r="P741" s="589"/>
      <c r="Q741" s="680"/>
      <c r="R741" s="696"/>
    </row>
    <row r="742" spans="1:18">
      <c r="A742" s="585"/>
      <c r="B742" s="587"/>
      <c r="C742" s="585"/>
      <c r="D742" s="629"/>
      <c r="E742" s="586"/>
      <c r="F742" s="675"/>
      <c r="G742" s="676"/>
      <c r="H742" s="588"/>
      <c r="I742" s="587"/>
      <c r="J742" s="585"/>
      <c r="K742" s="585"/>
      <c r="L742" s="678"/>
      <c r="M742" s="649"/>
      <c r="N742" s="679"/>
      <c r="O742" s="679"/>
      <c r="P742" s="589"/>
      <c r="Q742" s="680"/>
      <c r="R742" s="696"/>
    </row>
    <row r="743" spans="1:18">
      <c r="A743" s="585"/>
      <c r="B743" s="587"/>
      <c r="C743" s="585"/>
      <c r="D743" s="629"/>
      <c r="E743" s="586"/>
      <c r="F743" s="675"/>
      <c r="G743" s="676"/>
      <c r="H743" s="588"/>
      <c r="I743" s="587"/>
      <c r="J743" s="585"/>
      <c r="K743" s="585"/>
      <c r="L743" s="678"/>
      <c r="M743" s="649"/>
      <c r="N743" s="679"/>
      <c r="O743" s="679"/>
      <c r="P743" s="589"/>
      <c r="Q743" s="680"/>
      <c r="R743" s="696"/>
    </row>
    <row r="744" spans="1:18">
      <c r="A744" s="585"/>
      <c r="B744" s="587"/>
      <c r="C744" s="585"/>
      <c r="D744" s="629"/>
      <c r="E744" s="586"/>
      <c r="F744" s="675"/>
      <c r="G744" s="676"/>
      <c r="H744" s="588"/>
      <c r="I744" s="587"/>
      <c r="J744" s="585"/>
      <c r="K744" s="585"/>
      <c r="L744" s="678"/>
      <c r="M744" s="649"/>
      <c r="N744" s="679"/>
      <c r="O744" s="679"/>
      <c r="P744" s="589"/>
      <c r="Q744" s="680"/>
      <c r="R744" s="696"/>
    </row>
    <row r="745" spans="1:18">
      <c r="A745" s="585"/>
      <c r="B745" s="587"/>
      <c r="C745" s="585"/>
      <c r="D745" s="629"/>
      <c r="E745" s="586"/>
      <c r="F745" s="675"/>
      <c r="G745" s="676"/>
      <c r="H745" s="588"/>
      <c r="I745" s="587"/>
      <c r="J745" s="585"/>
      <c r="K745" s="585"/>
      <c r="L745" s="678"/>
      <c r="M745" s="649"/>
      <c r="N745" s="679"/>
      <c r="O745" s="679"/>
      <c r="P745" s="589"/>
      <c r="Q745" s="680"/>
      <c r="R745" s="696"/>
    </row>
    <row r="746" spans="1:18">
      <c r="A746" s="585"/>
      <c r="B746" s="587"/>
      <c r="C746" s="585"/>
      <c r="D746" s="629"/>
      <c r="E746" s="586"/>
      <c r="F746" s="675"/>
      <c r="G746" s="676"/>
      <c r="H746" s="588"/>
      <c r="I746" s="587"/>
      <c r="J746" s="585"/>
      <c r="K746" s="585"/>
      <c r="L746" s="678"/>
      <c r="M746" s="649"/>
      <c r="N746" s="679"/>
      <c r="O746" s="679"/>
      <c r="P746" s="589"/>
      <c r="Q746" s="680"/>
      <c r="R746" s="696"/>
    </row>
    <row r="747" spans="1:18">
      <c r="A747" s="585"/>
      <c r="B747" s="587"/>
      <c r="C747" s="585"/>
      <c r="D747" s="629"/>
      <c r="E747" s="586"/>
      <c r="F747" s="675"/>
      <c r="G747" s="676"/>
      <c r="H747" s="588"/>
      <c r="I747" s="587"/>
      <c r="J747" s="585"/>
      <c r="K747" s="585"/>
      <c r="L747" s="678"/>
      <c r="M747" s="649"/>
      <c r="N747" s="679"/>
      <c r="O747" s="679"/>
      <c r="P747" s="589"/>
      <c r="Q747" s="680"/>
      <c r="R747" s="696"/>
    </row>
    <row r="748" spans="1:18">
      <c r="A748" s="585"/>
      <c r="B748" s="587"/>
      <c r="C748" s="585"/>
      <c r="D748" s="629"/>
      <c r="E748" s="586"/>
      <c r="F748" s="675"/>
      <c r="G748" s="676"/>
      <c r="H748" s="588"/>
      <c r="I748" s="587"/>
      <c r="J748" s="585"/>
      <c r="K748" s="585"/>
      <c r="L748" s="678"/>
      <c r="M748" s="649"/>
      <c r="N748" s="679"/>
      <c r="O748" s="679"/>
      <c r="P748" s="589"/>
      <c r="Q748" s="680"/>
      <c r="R748" s="696"/>
    </row>
    <row r="749" spans="1:18">
      <c r="A749" s="585"/>
      <c r="B749" s="587"/>
      <c r="C749" s="585"/>
      <c r="D749" s="629"/>
      <c r="E749" s="586"/>
      <c r="F749" s="675"/>
      <c r="G749" s="676"/>
      <c r="H749" s="588"/>
      <c r="I749" s="587"/>
      <c r="J749" s="585"/>
      <c r="K749" s="585"/>
      <c r="L749" s="678"/>
      <c r="M749" s="649"/>
      <c r="N749" s="679"/>
      <c r="O749" s="679"/>
      <c r="P749" s="589"/>
      <c r="Q749" s="680"/>
      <c r="R749" s="696"/>
    </row>
    <row r="750" spans="1:18">
      <c r="A750" s="585"/>
      <c r="B750" s="587"/>
      <c r="C750" s="585"/>
      <c r="D750" s="629"/>
      <c r="E750" s="586"/>
      <c r="F750" s="675"/>
      <c r="G750" s="676"/>
      <c r="H750" s="588"/>
      <c r="I750" s="587"/>
      <c r="J750" s="585"/>
      <c r="K750" s="585"/>
      <c r="L750" s="678"/>
      <c r="M750" s="649"/>
      <c r="N750" s="679"/>
      <c r="O750" s="679"/>
      <c r="P750" s="589"/>
      <c r="Q750" s="680"/>
      <c r="R750" s="696"/>
    </row>
    <row r="751" spans="1:18">
      <c r="A751" s="585"/>
      <c r="B751" s="587"/>
      <c r="C751" s="585"/>
      <c r="D751" s="629"/>
      <c r="E751" s="586"/>
      <c r="F751" s="675"/>
      <c r="G751" s="676"/>
      <c r="H751" s="588"/>
      <c r="I751" s="587"/>
      <c r="J751" s="585"/>
      <c r="K751" s="585"/>
      <c r="L751" s="678"/>
      <c r="M751" s="649"/>
      <c r="N751" s="679"/>
      <c r="O751" s="679"/>
      <c r="P751" s="589"/>
      <c r="Q751" s="680"/>
      <c r="R751" s="696"/>
    </row>
    <row r="752" spans="1:18">
      <c r="A752" s="585"/>
      <c r="B752" s="587"/>
      <c r="C752" s="585"/>
      <c r="D752" s="629"/>
      <c r="E752" s="586"/>
      <c r="F752" s="675"/>
      <c r="G752" s="676"/>
      <c r="H752" s="588"/>
      <c r="I752" s="587"/>
      <c r="J752" s="585"/>
      <c r="K752" s="585"/>
      <c r="L752" s="678"/>
      <c r="M752" s="649"/>
      <c r="N752" s="679"/>
      <c r="O752" s="679"/>
      <c r="P752" s="589"/>
      <c r="Q752" s="680"/>
      <c r="R752" s="696"/>
    </row>
    <row r="753" spans="1:18">
      <c r="A753" s="585"/>
      <c r="B753" s="587"/>
      <c r="C753" s="585"/>
      <c r="D753" s="629"/>
      <c r="E753" s="586"/>
      <c r="F753" s="675"/>
      <c r="G753" s="676"/>
      <c r="H753" s="588"/>
      <c r="I753" s="587"/>
      <c r="J753" s="585"/>
      <c r="K753" s="585"/>
      <c r="L753" s="678"/>
      <c r="M753" s="649"/>
      <c r="N753" s="679"/>
      <c r="O753" s="679"/>
      <c r="P753" s="589"/>
      <c r="Q753" s="680"/>
      <c r="R753" s="696"/>
    </row>
    <row r="754" spans="1:18">
      <c r="A754" s="585"/>
      <c r="B754" s="587"/>
      <c r="C754" s="585"/>
      <c r="D754" s="629"/>
      <c r="E754" s="586"/>
      <c r="F754" s="675"/>
      <c r="G754" s="676"/>
      <c r="H754" s="588"/>
      <c r="I754" s="587"/>
      <c r="J754" s="585"/>
      <c r="K754" s="585"/>
      <c r="L754" s="678"/>
      <c r="M754" s="649"/>
      <c r="N754" s="679"/>
      <c r="O754" s="679"/>
      <c r="P754" s="589"/>
      <c r="Q754" s="680"/>
      <c r="R754" s="696"/>
    </row>
    <row r="755" spans="1:18">
      <c r="A755" s="585"/>
      <c r="B755" s="587"/>
      <c r="C755" s="585"/>
      <c r="D755" s="629"/>
      <c r="E755" s="586"/>
      <c r="F755" s="675"/>
      <c r="G755" s="676"/>
      <c r="H755" s="588"/>
      <c r="I755" s="587"/>
      <c r="J755" s="585"/>
      <c r="K755" s="585"/>
      <c r="L755" s="678"/>
      <c r="M755" s="649"/>
      <c r="N755" s="679"/>
      <c r="O755" s="679"/>
      <c r="P755" s="589"/>
      <c r="Q755" s="680"/>
      <c r="R755" s="696"/>
    </row>
    <row r="756" spans="1:18">
      <c r="A756" s="585"/>
      <c r="B756" s="587"/>
      <c r="C756" s="585"/>
      <c r="D756" s="629"/>
      <c r="E756" s="586"/>
      <c r="F756" s="675"/>
      <c r="G756" s="676"/>
      <c r="H756" s="588"/>
      <c r="I756" s="587"/>
      <c r="J756" s="585"/>
      <c r="K756" s="585"/>
      <c r="L756" s="678"/>
      <c r="M756" s="649"/>
      <c r="N756" s="679"/>
      <c r="O756" s="679"/>
      <c r="P756" s="589"/>
      <c r="Q756" s="680"/>
      <c r="R756" s="696"/>
    </row>
    <row r="757" spans="1:18">
      <c r="A757" s="585"/>
      <c r="B757" s="587"/>
      <c r="C757" s="585"/>
      <c r="D757" s="629"/>
      <c r="E757" s="586"/>
      <c r="F757" s="675"/>
      <c r="G757" s="676"/>
      <c r="H757" s="588"/>
      <c r="I757" s="587"/>
      <c r="J757" s="585"/>
      <c r="K757" s="585"/>
      <c r="L757" s="678"/>
      <c r="M757" s="649"/>
      <c r="N757" s="679"/>
      <c r="O757" s="679"/>
      <c r="P757" s="589"/>
      <c r="Q757" s="680"/>
      <c r="R757" s="696"/>
    </row>
    <row r="758" spans="1:18">
      <c r="A758" s="585"/>
      <c r="B758" s="587"/>
      <c r="C758" s="585"/>
      <c r="D758" s="629"/>
      <c r="E758" s="586"/>
      <c r="F758" s="675"/>
      <c r="G758" s="676"/>
      <c r="H758" s="588"/>
      <c r="I758" s="587"/>
      <c r="J758" s="585"/>
      <c r="K758" s="585"/>
      <c r="L758" s="678"/>
      <c r="M758" s="649"/>
      <c r="N758" s="679"/>
      <c r="O758" s="679"/>
      <c r="P758" s="589"/>
      <c r="Q758" s="680"/>
      <c r="R758" s="696"/>
    </row>
    <row r="759" spans="1:18">
      <c r="A759" s="585"/>
      <c r="B759" s="587"/>
      <c r="C759" s="585"/>
      <c r="D759" s="629"/>
      <c r="E759" s="586"/>
      <c r="F759" s="675"/>
      <c r="G759" s="676"/>
      <c r="H759" s="588"/>
      <c r="I759" s="587"/>
      <c r="J759" s="585"/>
      <c r="K759" s="585"/>
      <c r="L759" s="678"/>
      <c r="M759" s="649"/>
      <c r="N759" s="679"/>
      <c r="O759" s="679"/>
      <c r="P759" s="589"/>
      <c r="Q759" s="680"/>
      <c r="R759" s="696"/>
    </row>
    <row r="760" spans="1:18">
      <c r="A760" s="585"/>
      <c r="B760" s="587"/>
      <c r="C760" s="585"/>
      <c r="D760" s="629"/>
      <c r="E760" s="586"/>
      <c r="F760" s="675"/>
      <c r="G760" s="676"/>
      <c r="H760" s="588"/>
      <c r="I760" s="587"/>
      <c r="J760" s="585"/>
      <c r="K760" s="585"/>
      <c r="L760" s="678"/>
      <c r="M760" s="649"/>
      <c r="N760" s="679"/>
      <c r="O760" s="679"/>
      <c r="P760" s="589"/>
      <c r="Q760" s="680"/>
      <c r="R760" s="696"/>
    </row>
    <row r="761" spans="1:18">
      <c r="A761" s="585"/>
      <c r="B761" s="587"/>
      <c r="C761" s="585"/>
      <c r="D761" s="629"/>
      <c r="E761" s="586"/>
      <c r="F761" s="675"/>
      <c r="G761" s="676"/>
      <c r="H761" s="588"/>
      <c r="I761" s="587"/>
      <c r="J761" s="585"/>
      <c r="K761" s="585"/>
      <c r="L761" s="678"/>
      <c r="M761" s="649"/>
      <c r="N761" s="679"/>
      <c r="O761" s="679"/>
      <c r="P761" s="589"/>
      <c r="Q761" s="680"/>
      <c r="R761" s="696"/>
    </row>
    <row r="762" spans="1:18">
      <c r="A762" s="585"/>
      <c r="B762" s="587"/>
      <c r="C762" s="585"/>
      <c r="D762" s="629"/>
      <c r="E762" s="586"/>
      <c r="F762" s="675"/>
      <c r="G762" s="676"/>
      <c r="H762" s="588"/>
      <c r="I762" s="587"/>
      <c r="J762" s="585"/>
      <c r="K762" s="585"/>
      <c r="L762" s="678"/>
      <c r="M762" s="649"/>
      <c r="N762" s="679"/>
      <c r="O762" s="679"/>
      <c r="P762" s="589"/>
      <c r="Q762" s="680"/>
      <c r="R762" s="696"/>
    </row>
    <row r="763" spans="1:18">
      <c r="A763" s="585"/>
      <c r="B763" s="587"/>
      <c r="C763" s="585"/>
      <c r="D763" s="629"/>
      <c r="E763" s="586"/>
      <c r="F763" s="675"/>
      <c r="G763" s="676"/>
      <c r="H763" s="588"/>
      <c r="I763" s="587"/>
      <c r="J763" s="585"/>
      <c r="K763" s="585"/>
      <c r="L763" s="678"/>
      <c r="M763" s="649"/>
      <c r="N763" s="679"/>
      <c r="O763" s="679"/>
      <c r="P763" s="589"/>
      <c r="Q763" s="680"/>
      <c r="R763" s="696"/>
    </row>
    <row r="764" spans="1:18">
      <c r="A764" s="585"/>
      <c r="B764" s="587"/>
      <c r="C764" s="585"/>
      <c r="D764" s="629"/>
      <c r="E764" s="586"/>
      <c r="F764" s="675"/>
      <c r="G764" s="676"/>
      <c r="H764" s="588"/>
      <c r="I764" s="587"/>
      <c r="J764" s="585"/>
      <c r="K764" s="585"/>
      <c r="L764" s="678"/>
      <c r="M764" s="649"/>
      <c r="N764" s="679"/>
      <c r="O764" s="679"/>
      <c r="P764" s="589"/>
      <c r="Q764" s="680"/>
      <c r="R764" s="696"/>
    </row>
    <row r="765" spans="1:18">
      <c r="A765" s="585"/>
      <c r="B765" s="587"/>
      <c r="C765" s="585"/>
      <c r="D765" s="629"/>
      <c r="E765" s="586"/>
      <c r="F765" s="675"/>
      <c r="G765" s="676"/>
      <c r="H765" s="588"/>
      <c r="I765" s="587"/>
      <c r="J765" s="585"/>
      <c r="K765" s="585"/>
      <c r="L765" s="678"/>
      <c r="M765" s="649"/>
      <c r="N765" s="679"/>
      <c r="O765" s="679"/>
      <c r="P765" s="589"/>
      <c r="Q765" s="680"/>
      <c r="R765" s="696"/>
    </row>
    <row r="766" spans="1:18">
      <c r="A766" s="585"/>
      <c r="B766" s="587"/>
      <c r="C766" s="585"/>
      <c r="D766" s="629"/>
      <c r="E766" s="586"/>
      <c r="F766" s="675"/>
      <c r="G766" s="676"/>
      <c r="H766" s="588"/>
      <c r="I766" s="587"/>
      <c r="J766" s="585"/>
      <c r="K766" s="585"/>
      <c r="L766" s="678"/>
      <c r="M766" s="649"/>
      <c r="N766" s="679"/>
      <c r="O766" s="679"/>
      <c r="P766" s="589"/>
      <c r="Q766" s="680"/>
      <c r="R766" s="696"/>
    </row>
    <row r="767" spans="1:18">
      <c r="A767" s="585"/>
      <c r="B767" s="587"/>
      <c r="C767" s="585"/>
      <c r="D767" s="629"/>
      <c r="E767" s="586"/>
      <c r="F767" s="675"/>
      <c r="G767" s="676"/>
      <c r="H767" s="588"/>
      <c r="I767" s="587"/>
      <c r="J767" s="585"/>
      <c r="K767" s="585"/>
      <c r="L767" s="678"/>
      <c r="M767" s="649"/>
      <c r="N767" s="679"/>
      <c r="O767" s="679"/>
      <c r="P767" s="589"/>
      <c r="Q767" s="680"/>
      <c r="R767" s="696"/>
    </row>
    <row r="768" spans="1:18">
      <c r="A768" s="585"/>
      <c r="B768" s="587"/>
      <c r="C768" s="585"/>
      <c r="D768" s="629"/>
      <c r="E768" s="586"/>
      <c r="F768" s="675"/>
      <c r="G768" s="676"/>
      <c r="H768" s="588"/>
      <c r="I768" s="587"/>
      <c r="J768" s="585"/>
      <c r="K768" s="585"/>
      <c r="L768" s="678"/>
      <c r="M768" s="649"/>
      <c r="N768" s="679"/>
      <c r="O768" s="679"/>
      <c r="P768" s="589"/>
      <c r="Q768" s="680"/>
      <c r="R768" s="696"/>
    </row>
    <row r="769" spans="1:18">
      <c r="A769" s="585"/>
      <c r="B769" s="587"/>
      <c r="C769" s="585"/>
      <c r="D769" s="629"/>
      <c r="E769" s="586"/>
      <c r="F769" s="675"/>
      <c r="G769" s="676"/>
      <c r="H769" s="588"/>
      <c r="I769" s="587"/>
      <c r="J769" s="585"/>
      <c r="K769" s="585"/>
      <c r="L769" s="678"/>
      <c r="M769" s="649"/>
      <c r="N769" s="679"/>
      <c r="O769" s="679"/>
      <c r="P769" s="589"/>
      <c r="Q769" s="680"/>
      <c r="R769" s="696"/>
    </row>
    <row r="770" spans="1:18">
      <c r="A770" s="585"/>
      <c r="B770" s="587"/>
      <c r="C770" s="585"/>
      <c r="D770" s="629"/>
      <c r="E770" s="586"/>
      <c r="F770" s="675"/>
      <c r="G770" s="676"/>
      <c r="H770" s="588"/>
      <c r="I770" s="587"/>
      <c r="J770" s="585"/>
      <c r="K770" s="585"/>
      <c r="L770" s="678"/>
      <c r="M770" s="649"/>
      <c r="N770" s="679"/>
      <c r="O770" s="679"/>
      <c r="P770" s="589"/>
      <c r="Q770" s="680"/>
      <c r="R770" s="696"/>
    </row>
    <row r="771" spans="1:18">
      <c r="A771" s="585"/>
      <c r="B771" s="587"/>
      <c r="C771" s="585"/>
      <c r="D771" s="629"/>
      <c r="E771" s="586"/>
      <c r="F771" s="675"/>
      <c r="G771" s="676"/>
      <c r="H771" s="588"/>
      <c r="I771" s="587"/>
      <c r="J771" s="585"/>
      <c r="K771" s="585"/>
      <c r="L771" s="678"/>
      <c r="M771" s="649"/>
      <c r="N771" s="679"/>
      <c r="O771" s="679"/>
      <c r="P771" s="589"/>
      <c r="Q771" s="680"/>
      <c r="R771" s="696"/>
    </row>
    <row r="772" spans="1:18">
      <c r="A772" s="621"/>
      <c r="C772" s="354"/>
      <c r="F772" s="622"/>
      <c r="G772" s="623"/>
      <c r="H772" s="623"/>
      <c r="I772" s="621"/>
      <c r="L772" s="623"/>
      <c r="M772" s="624"/>
      <c r="N772" s="623"/>
      <c r="O772" s="623"/>
      <c r="P772" s="623"/>
      <c r="Q772" s="623"/>
    </row>
    <row r="773" spans="1:18">
      <c r="A773" s="621"/>
      <c r="C773" s="354"/>
      <c r="F773" s="622"/>
      <c r="G773" s="623"/>
      <c r="H773" s="623"/>
      <c r="I773" s="621"/>
      <c r="L773" s="623"/>
      <c r="M773" s="624"/>
      <c r="N773" s="623"/>
      <c r="O773" s="623"/>
      <c r="P773" s="623"/>
      <c r="Q773" s="623"/>
    </row>
    <row r="774" spans="1:18">
      <c r="A774" s="621"/>
      <c r="C774" s="354"/>
      <c r="F774" s="622"/>
      <c r="G774" s="623"/>
      <c r="H774" s="623"/>
      <c r="I774" s="621"/>
      <c r="L774" s="623"/>
      <c r="M774" s="624"/>
      <c r="N774" s="623"/>
      <c r="O774" s="623"/>
      <c r="P774" s="623"/>
      <c r="Q774" s="623"/>
    </row>
    <row r="775" spans="1:18">
      <c r="A775" s="621"/>
      <c r="C775" s="354"/>
      <c r="F775" s="622"/>
      <c r="G775" s="623"/>
      <c r="H775" s="623"/>
      <c r="I775" s="621"/>
      <c r="L775" s="623"/>
      <c r="M775" s="624"/>
      <c r="N775" s="623"/>
      <c r="O775" s="623"/>
      <c r="P775" s="623"/>
      <c r="Q775" s="623"/>
    </row>
    <row r="776" spans="1:18">
      <c r="A776" s="621"/>
      <c r="C776" s="354"/>
      <c r="F776" s="622"/>
      <c r="G776" s="623"/>
      <c r="H776" s="623"/>
      <c r="I776" s="621"/>
      <c r="L776" s="623"/>
      <c r="M776" s="624"/>
      <c r="N776" s="623"/>
      <c r="O776" s="623"/>
      <c r="P776" s="623"/>
      <c r="Q776" s="623"/>
    </row>
    <row r="777" spans="1:18">
      <c r="A777" s="621"/>
      <c r="C777" s="354"/>
      <c r="F777" s="622"/>
      <c r="G777" s="623"/>
      <c r="H777" s="623"/>
      <c r="I777" s="621"/>
      <c r="L777" s="623"/>
      <c r="M777" s="624"/>
      <c r="N777" s="623"/>
      <c r="O777" s="623"/>
      <c r="P777" s="623"/>
      <c r="Q777" s="623"/>
    </row>
    <row r="778" spans="1:18">
      <c r="A778" s="621"/>
      <c r="C778" s="354"/>
      <c r="F778" s="622"/>
      <c r="G778" s="623"/>
      <c r="H778" s="623"/>
      <c r="I778" s="621"/>
      <c r="L778" s="623"/>
      <c r="M778" s="624"/>
      <c r="N778" s="623"/>
      <c r="O778" s="623"/>
      <c r="P778" s="623"/>
      <c r="Q778" s="623"/>
    </row>
    <row r="779" spans="1:18">
      <c r="A779" s="621"/>
      <c r="C779" s="354"/>
      <c r="F779" s="622"/>
      <c r="G779" s="623"/>
      <c r="H779" s="623"/>
      <c r="I779" s="621"/>
      <c r="L779" s="623"/>
      <c r="M779" s="624"/>
      <c r="N779" s="623"/>
      <c r="O779" s="623"/>
      <c r="P779" s="623"/>
      <c r="Q779" s="623"/>
    </row>
    <row r="780" spans="1:18">
      <c r="A780" s="621"/>
      <c r="C780" s="354"/>
      <c r="F780" s="622"/>
      <c r="G780" s="623"/>
      <c r="H780" s="623"/>
      <c r="I780" s="621"/>
      <c r="L780" s="623"/>
      <c r="M780" s="624"/>
      <c r="N780" s="623"/>
      <c r="O780" s="623"/>
      <c r="P780" s="623"/>
      <c r="Q780" s="623"/>
    </row>
    <row r="781" spans="1:18">
      <c r="A781" s="621"/>
      <c r="C781" s="354"/>
      <c r="F781" s="622"/>
      <c r="G781" s="623"/>
      <c r="H781" s="623"/>
      <c r="I781" s="621"/>
      <c r="L781" s="623"/>
      <c r="M781" s="624"/>
      <c r="N781" s="623"/>
      <c r="O781" s="623"/>
      <c r="P781" s="623"/>
      <c r="Q781" s="623"/>
    </row>
    <row r="782" spans="1:18">
      <c r="A782" s="621"/>
      <c r="C782" s="354"/>
      <c r="F782" s="622"/>
      <c r="G782" s="623"/>
      <c r="H782" s="623"/>
      <c r="I782" s="621"/>
      <c r="L782" s="623"/>
      <c r="M782" s="624"/>
      <c r="N782" s="623"/>
      <c r="O782" s="623"/>
      <c r="P782" s="623"/>
      <c r="Q782" s="623"/>
    </row>
    <row r="783" spans="1:18">
      <c r="A783" s="621"/>
      <c r="C783" s="354"/>
      <c r="F783" s="622"/>
      <c r="G783" s="623"/>
      <c r="H783" s="623"/>
      <c r="I783" s="621"/>
      <c r="L783" s="623"/>
      <c r="M783" s="624"/>
      <c r="N783" s="623"/>
      <c r="O783" s="623"/>
      <c r="P783" s="623"/>
      <c r="Q783" s="623"/>
    </row>
    <row r="784" spans="1:18">
      <c r="A784" s="621"/>
      <c r="C784" s="354"/>
      <c r="F784" s="622"/>
      <c r="G784" s="623"/>
      <c r="H784" s="623"/>
      <c r="I784" s="621"/>
      <c r="L784" s="623"/>
      <c r="M784" s="624"/>
      <c r="N784" s="623"/>
      <c r="O784" s="623"/>
      <c r="P784" s="623"/>
      <c r="Q784" s="623"/>
    </row>
    <row r="785" spans="1:17">
      <c r="A785" s="621"/>
      <c r="C785" s="354"/>
      <c r="F785" s="622"/>
      <c r="G785" s="623"/>
      <c r="H785" s="623"/>
      <c r="I785" s="621"/>
      <c r="L785" s="623"/>
      <c r="M785" s="624"/>
      <c r="N785" s="623"/>
      <c r="O785" s="623"/>
      <c r="P785" s="623"/>
      <c r="Q785" s="623"/>
    </row>
    <row r="786" spans="1:17">
      <c r="A786" s="621"/>
      <c r="C786" s="354"/>
      <c r="F786" s="622"/>
      <c r="G786" s="623"/>
      <c r="H786" s="623"/>
      <c r="I786" s="621"/>
      <c r="L786" s="623"/>
      <c r="M786" s="624"/>
      <c r="N786" s="623"/>
      <c r="O786" s="623"/>
      <c r="P786" s="623"/>
      <c r="Q786" s="623"/>
    </row>
    <row r="787" spans="1:17">
      <c r="A787" s="621"/>
      <c r="C787" s="354"/>
      <c r="F787" s="622"/>
      <c r="G787" s="623"/>
      <c r="H787" s="623"/>
      <c r="I787" s="621"/>
      <c r="L787" s="623"/>
      <c r="M787" s="624"/>
      <c r="N787" s="623"/>
      <c r="O787" s="623"/>
      <c r="P787" s="623"/>
      <c r="Q787" s="623"/>
    </row>
    <row r="788" spans="1:17">
      <c r="A788" s="621"/>
      <c r="C788" s="354"/>
      <c r="F788" s="622"/>
      <c r="G788" s="623"/>
      <c r="H788" s="623"/>
      <c r="I788" s="621"/>
      <c r="L788" s="623"/>
      <c r="M788" s="624"/>
      <c r="N788" s="623"/>
      <c r="O788" s="623"/>
      <c r="P788" s="623"/>
      <c r="Q788" s="623"/>
    </row>
    <row r="789" spans="1:17">
      <c r="A789" s="621"/>
      <c r="C789" s="354"/>
      <c r="F789" s="622"/>
      <c r="G789" s="623"/>
      <c r="H789" s="623"/>
      <c r="I789" s="621"/>
      <c r="L789" s="623"/>
      <c r="M789" s="624"/>
      <c r="N789" s="623"/>
      <c r="O789" s="623"/>
      <c r="P789" s="623"/>
      <c r="Q789" s="623"/>
    </row>
    <row r="790" spans="1:17">
      <c r="A790" s="621"/>
      <c r="C790" s="354"/>
      <c r="F790" s="622"/>
      <c r="G790" s="623"/>
      <c r="H790" s="623"/>
      <c r="I790" s="621"/>
      <c r="L790" s="623"/>
      <c r="M790" s="624"/>
      <c r="N790" s="623"/>
      <c r="O790" s="623"/>
      <c r="P790" s="623"/>
      <c r="Q790" s="623"/>
    </row>
    <row r="791" spans="1:17">
      <c r="A791" s="621"/>
      <c r="C791" s="354"/>
      <c r="F791" s="622"/>
      <c r="G791" s="623"/>
      <c r="H791" s="623"/>
      <c r="I791" s="621"/>
      <c r="L791" s="623"/>
      <c r="M791" s="624"/>
      <c r="N791" s="623"/>
      <c r="O791" s="623"/>
      <c r="P791" s="623"/>
      <c r="Q791" s="623"/>
    </row>
    <row r="792" spans="1:17">
      <c r="A792" s="621"/>
      <c r="C792" s="354"/>
      <c r="F792" s="622"/>
      <c r="G792" s="623"/>
      <c r="H792" s="623"/>
      <c r="I792" s="621"/>
      <c r="L792" s="623"/>
      <c r="M792" s="624"/>
      <c r="N792" s="623"/>
      <c r="O792" s="623"/>
      <c r="P792" s="623"/>
      <c r="Q792" s="623"/>
    </row>
    <row r="793" spans="1:17">
      <c r="A793" s="621"/>
      <c r="C793" s="354"/>
      <c r="F793" s="622"/>
      <c r="G793" s="623"/>
      <c r="H793" s="623"/>
      <c r="I793" s="621"/>
      <c r="L793" s="623"/>
      <c r="M793" s="624"/>
      <c r="N793" s="623"/>
      <c r="O793" s="623"/>
      <c r="P793" s="623"/>
      <c r="Q793" s="623"/>
    </row>
    <row r="794" spans="1:17">
      <c r="A794" s="621"/>
      <c r="C794" s="354"/>
      <c r="F794" s="622"/>
      <c r="G794" s="623"/>
      <c r="H794" s="623"/>
      <c r="I794" s="621"/>
      <c r="L794" s="623"/>
      <c r="M794" s="624"/>
      <c r="N794" s="623"/>
      <c r="O794" s="623"/>
      <c r="P794" s="623"/>
      <c r="Q794" s="623"/>
    </row>
    <row r="795" spans="1:17">
      <c r="A795" s="621"/>
      <c r="C795" s="354"/>
      <c r="F795" s="622"/>
      <c r="G795" s="623"/>
      <c r="H795" s="623"/>
      <c r="I795" s="621"/>
      <c r="L795" s="623"/>
      <c r="M795" s="624"/>
      <c r="N795" s="623"/>
      <c r="O795" s="623"/>
      <c r="P795" s="623"/>
      <c r="Q795" s="623"/>
    </row>
    <row r="796" spans="1:17">
      <c r="A796" s="621"/>
      <c r="C796" s="354"/>
      <c r="F796" s="622"/>
      <c r="G796" s="623"/>
      <c r="H796" s="623"/>
      <c r="I796" s="621"/>
      <c r="L796" s="623"/>
      <c r="M796" s="624"/>
      <c r="N796" s="623"/>
      <c r="O796" s="623"/>
      <c r="P796" s="623"/>
      <c r="Q796" s="623"/>
    </row>
    <row r="797" spans="1:17">
      <c r="A797" s="621"/>
      <c r="C797" s="354"/>
      <c r="F797" s="622"/>
      <c r="G797" s="623"/>
      <c r="H797" s="623"/>
      <c r="I797" s="621"/>
      <c r="L797" s="623"/>
      <c r="M797" s="624"/>
      <c r="N797" s="623"/>
      <c r="O797" s="623"/>
      <c r="P797" s="623"/>
      <c r="Q797" s="623"/>
    </row>
    <row r="798" spans="1:17">
      <c r="A798" s="621"/>
      <c r="C798" s="354"/>
      <c r="F798" s="622"/>
      <c r="G798" s="623"/>
      <c r="H798" s="623"/>
      <c r="I798" s="621"/>
      <c r="L798" s="623"/>
      <c r="M798" s="624"/>
      <c r="N798" s="623"/>
      <c r="O798" s="623"/>
      <c r="P798" s="623"/>
      <c r="Q798" s="623"/>
    </row>
    <row r="799" spans="1:17">
      <c r="A799" s="621"/>
      <c r="C799" s="354"/>
      <c r="F799" s="622"/>
      <c r="G799" s="623"/>
      <c r="H799" s="623"/>
      <c r="I799" s="621"/>
      <c r="L799" s="623"/>
      <c r="M799" s="624"/>
      <c r="N799" s="623"/>
      <c r="O799" s="623"/>
      <c r="P799" s="623"/>
      <c r="Q799" s="623"/>
    </row>
    <row r="800" spans="1:17">
      <c r="A800" s="621"/>
      <c r="C800" s="354"/>
      <c r="F800" s="622"/>
      <c r="G800" s="623"/>
      <c r="H800" s="623"/>
      <c r="I800" s="621"/>
      <c r="L800" s="623"/>
      <c r="M800" s="624"/>
      <c r="N800" s="623"/>
      <c r="O800" s="623"/>
      <c r="P800" s="623"/>
      <c r="Q800" s="623"/>
    </row>
    <row r="801" spans="1:17">
      <c r="A801" s="621"/>
      <c r="C801" s="354"/>
      <c r="F801" s="622"/>
      <c r="G801" s="623"/>
      <c r="H801" s="623"/>
      <c r="I801" s="621"/>
      <c r="L801" s="623"/>
      <c r="M801" s="624"/>
      <c r="N801" s="623"/>
      <c r="O801" s="623"/>
      <c r="P801" s="623"/>
      <c r="Q801" s="623"/>
    </row>
    <row r="802" spans="1:17">
      <c r="A802" s="621"/>
      <c r="C802" s="354"/>
      <c r="F802" s="622"/>
      <c r="G802" s="623"/>
      <c r="H802" s="623"/>
      <c r="I802" s="621"/>
      <c r="L802" s="623"/>
      <c r="M802" s="624"/>
      <c r="N802" s="623"/>
      <c r="O802" s="623"/>
      <c r="P802" s="623"/>
      <c r="Q802" s="623"/>
    </row>
    <row r="803" spans="1:17">
      <c r="A803" s="621"/>
      <c r="C803" s="354"/>
      <c r="F803" s="622"/>
      <c r="G803" s="623"/>
      <c r="H803" s="623"/>
      <c r="I803" s="621"/>
      <c r="L803" s="623"/>
      <c r="M803" s="624"/>
      <c r="N803" s="623"/>
      <c r="O803" s="623"/>
      <c r="P803" s="623"/>
      <c r="Q803" s="623"/>
    </row>
    <row r="804" spans="1:17">
      <c r="A804" s="621"/>
      <c r="C804" s="354"/>
      <c r="F804" s="622"/>
      <c r="G804" s="623"/>
      <c r="H804" s="623"/>
      <c r="I804" s="621"/>
      <c r="L804" s="623"/>
      <c r="M804" s="624"/>
      <c r="N804" s="623"/>
      <c r="O804" s="623"/>
      <c r="P804" s="623"/>
      <c r="Q804" s="623"/>
    </row>
    <row r="805" spans="1:17">
      <c r="A805" s="621"/>
      <c r="C805" s="354"/>
      <c r="F805" s="622"/>
      <c r="G805" s="623"/>
      <c r="H805" s="623"/>
      <c r="I805" s="621"/>
      <c r="L805" s="623"/>
      <c r="M805" s="624"/>
      <c r="N805" s="623"/>
      <c r="O805" s="623"/>
      <c r="P805" s="623"/>
      <c r="Q805" s="623"/>
    </row>
    <row r="806" spans="1:17">
      <c r="A806" s="621"/>
      <c r="C806" s="354"/>
      <c r="F806" s="622"/>
      <c r="G806" s="623"/>
      <c r="H806" s="623"/>
      <c r="I806" s="621"/>
      <c r="L806" s="623"/>
      <c r="M806" s="624"/>
      <c r="N806" s="623"/>
      <c r="O806" s="623"/>
      <c r="P806" s="623"/>
      <c r="Q806" s="623"/>
    </row>
    <row r="807" spans="1:17">
      <c r="A807" s="621"/>
      <c r="C807" s="354"/>
      <c r="F807" s="622"/>
      <c r="G807" s="623"/>
      <c r="H807" s="623"/>
      <c r="I807" s="621"/>
      <c r="L807" s="623"/>
      <c r="M807" s="624"/>
      <c r="N807" s="623"/>
      <c r="O807" s="623"/>
      <c r="P807" s="623"/>
      <c r="Q807" s="623"/>
    </row>
    <row r="808" spans="1:17">
      <c r="A808" s="621"/>
      <c r="C808" s="354"/>
      <c r="F808" s="622"/>
      <c r="G808" s="623"/>
      <c r="H808" s="623"/>
      <c r="I808" s="621"/>
      <c r="L808" s="623"/>
      <c r="M808" s="624"/>
      <c r="N808" s="623"/>
      <c r="O808" s="623"/>
      <c r="P808" s="623"/>
      <c r="Q808" s="623"/>
    </row>
    <row r="809" spans="1:17">
      <c r="A809" s="621"/>
      <c r="C809" s="354"/>
      <c r="F809" s="622"/>
      <c r="G809" s="623"/>
      <c r="H809" s="623"/>
      <c r="I809" s="621"/>
      <c r="L809" s="623"/>
      <c r="M809" s="624"/>
      <c r="N809" s="623"/>
      <c r="O809" s="623"/>
      <c r="P809" s="623"/>
      <c r="Q809" s="623"/>
    </row>
    <row r="810" spans="1:17">
      <c r="A810" s="621"/>
      <c r="C810" s="354"/>
      <c r="F810" s="622"/>
      <c r="G810" s="623"/>
      <c r="H810" s="623"/>
      <c r="I810" s="621"/>
      <c r="L810" s="623"/>
      <c r="M810" s="624"/>
      <c r="N810" s="623"/>
      <c r="O810" s="623"/>
      <c r="P810" s="623"/>
      <c r="Q810" s="623"/>
    </row>
    <row r="811" spans="1:17">
      <c r="A811" s="621"/>
      <c r="C811" s="354"/>
      <c r="F811" s="622"/>
      <c r="G811" s="623"/>
      <c r="H811" s="623"/>
      <c r="I811" s="621"/>
      <c r="L811" s="623"/>
      <c r="M811" s="624"/>
      <c r="N811" s="623"/>
      <c r="O811" s="623"/>
      <c r="P811" s="623"/>
      <c r="Q811" s="623"/>
    </row>
    <row r="812" spans="1:17">
      <c r="A812" s="621"/>
      <c r="C812" s="354"/>
      <c r="F812" s="622"/>
      <c r="G812" s="623"/>
      <c r="H812" s="623"/>
      <c r="I812" s="621"/>
      <c r="L812" s="623"/>
      <c r="M812" s="624"/>
      <c r="N812" s="623"/>
      <c r="O812" s="623"/>
      <c r="P812" s="623"/>
      <c r="Q812" s="623"/>
    </row>
    <row r="813" spans="1:17">
      <c r="A813" s="621"/>
      <c r="C813" s="354"/>
      <c r="F813" s="622"/>
      <c r="G813" s="623"/>
      <c r="H813" s="623"/>
      <c r="I813" s="621"/>
      <c r="L813" s="623"/>
      <c r="M813" s="624"/>
      <c r="N813" s="623"/>
      <c r="O813" s="623"/>
      <c r="P813" s="623"/>
      <c r="Q813" s="623"/>
    </row>
    <row r="814" spans="1:17">
      <c r="A814" s="621"/>
      <c r="C814" s="354"/>
      <c r="F814" s="622"/>
      <c r="G814" s="623"/>
      <c r="H814" s="623"/>
      <c r="I814" s="621"/>
      <c r="L814" s="623"/>
      <c r="M814" s="624"/>
      <c r="N814" s="623"/>
      <c r="O814" s="623"/>
      <c r="P814" s="623"/>
      <c r="Q814" s="623"/>
    </row>
    <row r="815" spans="1:17">
      <c r="A815" s="621"/>
      <c r="C815" s="354"/>
      <c r="F815" s="622"/>
      <c r="G815" s="623"/>
      <c r="H815" s="623"/>
      <c r="I815" s="621"/>
      <c r="L815" s="623"/>
      <c r="M815" s="624"/>
      <c r="N815" s="623"/>
      <c r="O815" s="623"/>
      <c r="P815" s="623"/>
      <c r="Q815" s="623"/>
    </row>
    <row r="816" spans="1:17">
      <c r="A816" s="621"/>
      <c r="C816" s="354"/>
      <c r="F816" s="622"/>
      <c r="G816" s="623"/>
      <c r="H816" s="623"/>
      <c r="I816" s="621"/>
      <c r="L816" s="623"/>
      <c r="M816" s="624"/>
      <c r="N816" s="623"/>
      <c r="O816" s="623"/>
      <c r="P816" s="623"/>
      <c r="Q816" s="623"/>
    </row>
    <row r="817" spans="1:17">
      <c r="A817" s="621"/>
      <c r="C817" s="354"/>
      <c r="F817" s="622"/>
      <c r="G817" s="623"/>
      <c r="H817" s="623"/>
      <c r="I817" s="621"/>
      <c r="L817" s="623"/>
      <c r="M817" s="624"/>
      <c r="N817" s="623"/>
      <c r="O817" s="623"/>
      <c r="P817" s="623"/>
      <c r="Q817" s="623"/>
    </row>
    <row r="818" spans="1:17">
      <c r="A818" s="621"/>
      <c r="C818" s="354"/>
      <c r="F818" s="622"/>
      <c r="G818" s="623"/>
      <c r="H818" s="623"/>
      <c r="I818" s="621"/>
      <c r="L818" s="623"/>
      <c r="M818" s="624"/>
      <c r="N818" s="623"/>
      <c r="O818" s="623"/>
      <c r="P818" s="623"/>
      <c r="Q818" s="623"/>
    </row>
    <row r="819" spans="1:17">
      <c r="A819" s="621"/>
      <c r="C819" s="354"/>
      <c r="F819" s="622"/>
      <c r="G819" s="623"/>
      <c r="H819" s="623"/>
      <c r="I819" s="621"/>
      <c r="L819" s="623"/>
      <c r="M819" s="624"/>
      <c r="N819" s="623"/>
      <c r="O819" s="623"/>
      <c r="P819" s="623"/>
      <c r="Q819" s="623"/>
    </row>
    <row r="820" spans="1:17">
      <c r="A820" s="621"/>
      <c r="C820" s="354"/>
      <c r="F820" s="622"/>
      <c r="G820" s="623"/>
      <c r="H820" s="623"/>
      <c r="I820" s="621"/>
      <c r="L820" s="623"/>
      <c r="M820" s="624"/>
      <c r="N820" s="623"/>
      <c r="O820" s="623"/>
      <c r="P820" s="623"/>
      <c r="Q820" s="623"/>
    </row>
    <row r="821" spans="1:17">
      <c r="A821" s="621"/>
      <c r="C821" s="354"/>
      <c r="F821" s="622"/>
      <c r="G821" s="623"/>
      <c r="H821" s="623"/>
      <c r="I821" s="621"/>
      <c r="L821" s="623"/>
      <c r="M821" s="624"/>
      <c r="N821" s="623"/>
      <c r="O821" s="623"/>
      <c r="P821" s="623"/>
      <c r="Q821" s="623"/>
    </row>
    <row r="822" spans="1:17">
      <c r="A822" s="621"/>
      <c r="C822" s="354"/>
      <c r="F822" s="622"/>
      <c r="G822" s="623"/>
      <c r="H822" s="623"/>
      <c r="I822" s="621"/>
      <c r="L822" s="623"/>
      <c r="M822" s="624"/>
      <c r="N822" s="623"/>
      <c r="O822" s="623"/>
      <c r="P822" s="623"/>
      <c r="Q822" s="623"/>
    </row>
    <row r="823" spans="1:17">
      <c r="A823" s="621"/>
      <c r="C823" s="354"/>
      <c r="F823" s="622"/>
      <c r="G823" s="623"/>
      <c r="H823" s="623"/>
      <c r="I823" s="621"/>
      <c r="L823" s="623"/>
      <c r="M823" s="624"/>
      <c r="N823" s="623"/>
      <c r="O823" s="623"/>
      <c r="P823" s="623"/>
      <c r="Q823" s="623"/>
    </row>
    <row r="824" spans="1:17">
      <c r="A824" s="621"/>
      <c r="C824" s="354"/>
      <c r="F824" s="622"/>
      <c r="G824" s="623"/>
      <c r="H824" s="623"/>
      <c r="I824" s="621"/>
      <c r="L824" s="623"/>
      <c r="M824" s="624"/>
      <c r="N824" s="623"/>
      <c r="O824" s="623"/>
      <c r="P824" s="623"/>
      <c r="Q824" s="623"/>
    </row>
    <row r="825" spans="1:17">
      <c r="A825" s="621"/>
      <c r="C825" s="354"/>
      <c r="F825" s="622"/>
      <c r="G825" s="623"/>
      <c r="H825" s="623"/>
      <c r="I825" s="621"/>
      <c r="L825" s="623"/>
      <c r="M825" s="624"/>
      <c r="N825" s="623"/>
      <c r="O825" s="623"/>
      <c r="P825" s="623"/>
      <c r="Q825" s="623"/>
    </row>
    <row r="826" spans="1:17">
      <c r="A826" s="621"/>
      <c r="C826" s="354"/>
      <c r="F826" s="622"/>
      <c r="G826" s="623"/>
      <c r="H826" s="623"/>
      <c r="I826" s="621"/>
      <c r="L826" s="623"/>
      <c r="M826" s="624"/>
      <c r="N826" s="623"/>
      <c r="O826" s="623"/>
      <c r="P826" s="623"/>
      <c r="Q826" s="623"/>
    </row>
    <row r="827" spans="1:17">
      <c r="A827" s="621"/>
      <c r="C827" s="354"/>
      <c r="F827" s="622"/>
      <c r="G827" s="623"/>
      <c r="H827" s="623"/>
      <c r="I827" s="621"/>
      <c r="L827" s="623"/>
      <c r="M827" s="624"/>
      <c r="N827" s="623"/>
      <c r="O827" s="623"/>
      <c r="P827" s="623"/>
      <c r="Q827" s="623"/>
    </row>
    <row r="828" spans="1:17">
      <c r="A828" s="621"/>
      <c r="C828" s="354"/>
      <c r="F828" s="622"/>
      <c r="G828" s="623"/>
      <c r="H828" s="623"/>
      <c r="I828" s="621"/>
      <c r="L828" s="623"/>
      <c r="M828" s="624"/>
      <c r="N828" s="623"/>
      <c r="O828" s="623"/>
      <c r="P828" s="623"/>
      <c r="Q828" s="623"/>
    </row>
    <row r="829" spans="1:17">
      <c r="A829" s="621"/>
      <c r="C829" s="354"/>
      <c r="F829" s="622"/>
      <c r="G829" s="623"/>
      <c r="H829" s="623"/>
      <c r="I829" s="621"/>
      <c r="L829" s="623"/>
      <c r="M829" s="624"/>
      <c r="N829" s="623"/>
      <c r="O829" s="623"/>
      <c r="P829" s="623"/>
      <c r="Q829" s="623"/>
    </row>
    <row r="830" spans="1:17">
      <c r="A830" s="621"/>
      <c r="C830" s="354"/>
      <c r="F830" s="622"/>
      <c r="G830" s="623"/>
      <c r="H830" s="623"/>
      <c r="I830" s="621"/>
      <c r="L830" s="623"/>
      <c r="M830" s="624"/>
      <c r="N830" s="623"/>
      <c r="O830" s="623"/>
      <c r="P830" s="623"/>
      <c r="Q830" s="623"/>
    </row>
    <row r="831" spans="1:17">
      <c r="A831" s="621"/>
      <c r="C831" s="354"/>
      <c r="F831" s="622"/>
      <c r="G831" s="623"/>
      <c r="H831" s="623"/>
      <c r="I831" s="621"/>
      <c r="L831" s="623"/>
      <c r="M831" s="624"/>
      <c r="N831" s="623"/>
      <c r="O831" s="623"/>
      <c r="P831" s="623"/>
      <c r="Q831" s="623"/>
    </row>
    <row r="832" spans="1:17">
      <c r="A832" s="621"/>
      <c r="C832" s="354"/>
      <c r="F832" s="622"/>
      <c r="G832" s="623"/>
      <c r="H832" s="623"/>
      <c r="I832" s="621"/>
      <c r="L832" s="623"/>
      <c r="M832" s="624"/>
      <c r="N832" s="623"/>
      <c r="O832" s="623"/>
      <c r="P832" s="623"/>
      <c r="Q832" s="623"/>
    </row>
    <row r="833" spans="1:17">
      <c r="A833" s="621"/>
      <c r="C833" s="354"/>
      <c r="F833" s="622"/>
      <c r="G833" s="623"/>
      <c r="H833" s="623"/>
      <c r="I833" s="621"/>
      <c r="L833" s="623"/>
      <c r="M833" s="624"/>
      <c r="N833" s="623"/>
      <c r="O833" s="623"/>
      <c r="P833" s="623"/>
      <c r="Q833" s="623"/>
    </row>
    <row r="834" spans="1:17">
      <c r="A834" s="621"/>
      <c r="C834" s="354"/>
      <c r="F834" s="622"/>
      <c r="G834" s="623"/>
      <c r="H834" s="623"/>
      <c r="I834" s="621"/>
      <c r="L834" s="623"/>
      <c r="M834" s="624"/>
      <c r="N834" s="623"/>
      <c r="O834" s="623"/>
      <c r="P834" s="623"/>
      <c r="Q834" s="623"/>
    </row>
    <row r="835" spans="1:17">
      <c r="A835" s="621"/>
      <c r="C835" s="354"/>
      <c r="F835" s="622"/>
      <c r="G835" s="623"/>
      <c r="H835" s="623"/>
      <c r="I835" s="621"/>
      <c r="L835" s="623"/>
      <c r="M835" s="624"/>
      <c r="N835" s="623"/>
      <c r="O835" s="623"/>
      <c r="P835" s="623"/>
      <c r="Q835" s="623"/>
    </row>
    <row r="836" spans="1:17">
      <c r="A836" s="621"/>
      <c r="C836" s="354"/>
      <c r="F836" s="622"/>
      <c r="G836" s="623"/>
      <c r="H836" s="623"/>
      <c r="I836" s="621"/>
      <c r="L836" s="623"/>
      <c r="M836" s="624"/>
      <c r="N836" s="623"/>
      <c r="O836" s="623"/>
      <c r="P836" s="623"/>
      <c r="Q836" s="623"/>
    </row>
    <row r="837" spans="1:17">
      <c r="A837" s="621"/>
      <c r="C837" s="354"/>
      <c r="F837" s="622"/>
      <c r="G837" s="623"/>
      <c r="H837" s="623"/>
      <c r="I837" s="621"/>
      <c r="L837" s="623"/>
      <c r="M837" s="624"/>
      <c r="N837" s="623"/>
      <c r="O837" s="623"/>
      <c r="P837" s="623"/>
      <c r="Q837" s="623"/>
    </row>
    <row r="838" spans="1:17">
      <c r="A838" s="621"/>
      <c r="C838" s="354"/>
      <c r="F838" s="622"/>
      <c r="G838" s="623"/>
      <c r="H838" s="623"/>
      <c r="I838" s="621"/>
      <c r="L838" s="623"/>
      <c r="M838" s="624"/>
      <c r="N838" s="623"/>
      <c r="O838" s="623"/>
      <c r="P838" s="623"/>
      <c r="Q838" s="623"/>
    </row>
    <row r="839" spans="1:17">
      <c r="A839" s="621"/>
      <c r="C839" s="354"/>
      <c r="F839" s="622"/>
      <c r="G839" s="623"/>
      <c r="H839" s="623"/>
      <c r="I839" s="621"/>
      <c r="L839" s="623"/>
      <c r="M839" s="624"/>
      <c r="N839" s="623"/>
      <c r="O839" s="623"/>
      <c r="P839" s="623"/>
      <c r="Q839" s="623"/>
    </row>
    <row r="840" spans="1:17">
      <c r="A840" s="621"/>
      <c r="C840" s="354"/>
      <c r="F840" s="622"/>
      <c r="G840" s="623"/>
      <c r="H840" s="623"/>
      <c r="I840" s="621"/>
      <c r="L840" s="623"/>
      <c r="M840" s="624"/>
      <c r="N840" s="623"/>
      <c r="O840" s="623"/>
      <c r="P840" s="623"/>
      <c r="Q840" s="623"/>
    </row>
    <row r="841" spans="1:17">
      <c r="A841" s="621"/>
      <c r="C841" s="354"/>
      <c r="F841" s="622"/>
      <c r="G841" s="623"/>
      <c r="H841" s="623"/>
      <c r="I841" s="621"/>
      <c r="L841" s="623"/>
      <c r="M841" s="624"/>
      <c r="N841" s="623"/>
      <c r="O841" s="623"/>
      <c r="P841" s="623"/>
      <c r="Q841" s="623"/>
    </row>
    <row r="842" spans="1:17">
      <c r="A842" s="621"/>
      <c r="C842" s="354"/>
      <c r="F842" s="622"/>
      <c r="G842" s="623"/>
      <c r="H842" s="623"/>
      <c r="I842" s="621"/>
      <c r="L842" s="623"/>
      <c r="M842" s="624"/>
      <c r="N842" s="623"/>
      <c r="O842" s="623"/>
      <c r="P842" s="623"/>
      <c r="Q842" s="623"/>
    </row>
    <row r="843" spans="1:17">
      <c r="A843" s="621"/>
      <c r="C843" s="354"/>
      <c r="F843" s="622"/>
      <c r="G843" s="623"/>
      <c r="H843" s="623"/>
      <c r="I843" s="621"/>
      <c r="L843" s="623"/>
      <c r="M843" s="624"/>
      <c r="N843" s="623"/>
      <c r="O843" s="623"/>
      <c r="P843" s="623"/>
      <c r="Q843" s="623"/>
    </row>
    <row r="844" spans="1:17">
      <c r="A844" s="621"/>
      <c r="C844" s="354"/>
      <c r="F844" s="622"/>
      <c r="G844" s="623"/>
      <c r="H844" s="623"/>
      <c r="I844" s="621"/>
      <c r="L844" s="623"/>
      <c r="M844" s="624"/>
      <c r="N844" s="623"/>
      <c r="O844" s="623"/>
      <c r="P844" s="623"/>
      <c r="Q844" s="623"/>
    </row>
    <row r="845" spans="1:17">
      <c r="A845" s="621"/>
      <c r="C845" s="354"/>
      <c r="F845" s="622"/>
      <c r="G845" s="623"/>
      <c r="H845" s="623"/>
      <c r="I845" s="621"/>
      <c r="L845" s="623"/>
      <c r="M845" s="624"/>
      <c r="N845" s="623"/>
      <c r="O845" s="623"/>
      <c r="P845" s="623"/>
      <c r="Q845" s="623"/>
    </row>
    <row r="846" spans="1:17">
      <c r="A846" s="621"/>
      <c r="C846" s="354"/>
      <c r="F846" s="622"/>
      <c r="G846" s="623"/>
      <c r="H846" s="623"/>
      <c r="I846" s="621"/>
      <c r="L846" s="623"/>
      <c r="M846" s="624"/>
      <c r="N846" s="623"/>
      <c r="O846" s="623"/>
      <c r="P846" s="623"/>
      <c r="Q846" s="623"/>
    </row>
    <row r="847" spans="1:17">
      <c r="A847" s="621"/>
      <c r="C847" s="354"/>
      <c r="F847" s="622"/>
      <c r="G847" s="623"/>
      <c r="H847" s="623"/>
      <c r="I847" s="621"/>
      <c r="L847" s="623"/>
      <c r="M847" s="624"/>
      <c r="N847" s="623"/>
      <c r="O847" s="623"/>
      <c r="P847" s="623"/>
      <c r="Q847" s="623"/>
    </row>
    <row r="848" spans="1:17">
      <c r="A848" s="621"/>
      <c r="C848" s="354"/>
      <c r="F848" s="622"/>
      <c r="G848" s="623"/>
      <c r="H848" s="623"/>
      <c r="I848" s="621"/>
      <c r="L848" s="623"/>
      <c r="M848" s="624"/>
      <c r="N848" s="623"/>
      <c r="O848" s="623"/>
      <c r="P848" s="623"/>
      <c r="Q848" s="623"/>
    </row>
    <row r="849" spans="1:17">
      <c r="A849" s="621"/>
      <c r="C849" s="354"/>
      <c r="F849" s="622"/>
      <c r="G849" s="623"/>
      <c r="H849" s="623"/>
      <c r="I849" s="621"/>
      <c r="L849" s="623"/>
      <c r="M849" s="624"/>
      <c r="N849" s="623"/>
      <c r="O849" s="623"/>
      <c r="P849" s="623"/>
      <c r="Q849" s="623"/>
    </row>
    <row r="850" spans="1:17">
      <c r="A850" s="621"/>
      <c r="C850" s="354"/>
      <c r="F850" s="622"/>
      <c r="G850" s="623"/>
      <c r="H850" s="623"/>
      <c r="I850" s="621"/>
      <c r="L850" s="623"/>
      <c r="M850" s="624"/>
      <c r="N850" s="623"/>
      <c r="O850" s="623"/>
      <c r="P850" s="623"/>
      <c r="Q850" s="623"/>
    </row>
    <row r="851" spans="1:17">
      <c r="A851" s="621"/>
      <c r="C851" s="354"/>
      <c r="F851" s="622"/>
      <c r="G851" s="623"/>
      <c r="H851" s="623"/>
      <c r="I851" s="621"/>
      <c r="L851" s="623"/>
      <c r="M851" s="624"/>
      <c r="N851" s="623"/>
      <c r="O851" s="623"/>
      <c r="P851" s="623"/>
      <c r="Q851" s="623"/>
    </row>
    <row r="852" spans="1:17">
      <c r="A852" s="621"/>
      <c r="C852" s="354"/>
      <c r="F852" s="622"/>
      <c r="G852" s="623"/>
      <c r="H852" s="623"/>
      <c r="I852" s="621"/>
      <c r="L852" s="623"/>
      <c r="M852" s="624"/>
      <c r="N852" s="623"/>
      <c r="O852" s="623"/>
      <c r="P852" s="623"/>
      <c r="Q852" s="623"/>
    </row>
    <row r="853" spans="1:17">
      <c r="A853" s="621"/>
      <c r="C853" s="354"/>
      <c r="F853" s="622"/>
      <c r="G853" s="623"/>
      <c r="H853" s="623"/>
      <c r="I853" s="621"/>
      <c r="L853" s="623"/>
      <c r="M853" s="624"/>
      <c r="N853" s="623"/>
      <c r="O853" s="623"/>
      <c r="P853" s="623"/>
      <c r="Q853" s="623"/>
    </row>
    <row r="854" spans="1:17">
      <c r="A854" s="621"/>
      <c r="C854" s="354"/>
      <c r="F854" s="622"/>
      <c r="G854" s="623"/>
      <c r="H854" s="623"/>
      <c r="I854" s="621"/>
      <c r="L854" s="623"/>
      <c r="M854" s="624"/>
      <c r="N854" s="623"/>
      <c r="O854" s="623"/>
      <c r="P854" s="623"/>
      <c r="Q854" s="623"/>
    </row>
    <row r="855" spans="1:17">
      <c r="A855" s="621"/>
      <c r="C855" s="354"/>
      <c r="F855" s="622"/>
      <c r="G855" s="623"/>
      <c r="H855" s="623"/>
      <c r="I855" s="621"/>
      <c r="L855" s="623"/>
      <c r="M855" s="624"/>
      <c r="N855" s="623"/>
      <c r="O855" s="623"/>
      <c r="P855" s="623"/>
      <c r="Q855" s="623"/>
    </row>
    <row r="856" spans="1:17">
      <c r="A856" s="621"/>
      <c r="C856" s="354"/>
      <c r="F856" s="622"/>
      <c r="G856" s="623"/>
      <c r="H856" s="623"/>
      <c r="I856" s="621"/>
      <c r="L856" s="623"/>
      <c r="M856" s="624"/>
      <c r="N856" s="623"/>
      <c r="O856" s="623"/>
      <c r="P856" s="623"/>
      <c r="Q856" s="623"/>
    </row>
    <row r="857" spans="1:17">
      <c r="A857" s="621"/>
      <c r="C857" s="354"/>
      <c r="F857" s="622"/>
      <c r="G857" s="623"/>
      <c r="H857" s="623"/>
      <c r="I857" s="621"/>
      <c r="L857" s="623"/>
      <c r="M857" s="624"/>
      <c r="N857" s="623"/>
      <c r="O857" s="623"/>
      <c r="P857" s="623"/>
      <c r="Q857" s="623"/>
    </row>
    <row r="858" spans="1:17">
      <c r="A858" s="621"/>
      <c r="C858" s="354"/>
      <c r="F858" s="622"/>
      <c r="G858" s="623"/>
      <c r="H858" s="623"/>
      <c r="I858" s="621"/>
      <c r="L858" s="623"/>
      <c r="M858" s="624"/>
      <c r="N858" s="623"/>
      <c r="O858" s="623"/>
      <c r="P858" s="623"/>
      <c r="Q858" s="623"/>
    </row>
    <row r="859" spans="1:17">
      <c r="A859" s="621"/>
      <c r="C859" s="354"/>
      <c r="F859" s="622"/>
      <c r="G859" s="623"/>
      <c r="H859" s="623"/>
      <c r="I859" s="621"/>
      <c r="L859" s="623"/>
      <c r="M859" s="624"/>
      <c r="N859" s="623"/>
      <c r="O859" s="623"/>
      <c r="P859" s="623"/>
      <c r="Q859" s="623"/>
    </row>
    <row r="860" spans="1:17">
      <c r="A860" s="621"/>
      <c r="C860" s="354"/>
      <c r="F860" s="622"/>
      <c r="G860" s="623"/>
      <c r="H860" s="623"/>
      <c r="I860" s="621"/>
      <c r="L860" s="623"/>
      <c r="M860" s="624"/>
      <c r="N860" s="623"/>
      <c r="O860" s="623"/>
      <c r="P860" s="623"/>
      <c r="Q860" s="623"/>
    </row>
    <row r="861" spans="1:17">
      <c r="A861" s="621"/>
      <c r="C861" s="354"/>
      <c r="F861" s="622"/>
      <c r="G861" s="623"/>
      <c r="H861" s="623"/>
      <c r="I861" s="621"/>
      <c r="L861" s="623"/>
      <c r="M861" s="624"/>
      <c r="N861" s="623"/>
      <c r="O861" s="623"/>
      <c r="P861" s="623"/>
      <c r="Q861" s="623"/>
    </row>
    <row r="862" spans="1:17">
      <c r="A862" s="621"/>
      <c r="C862" s="354"/>
      <c r="F862" s="622"/>
      <c r="G862" s="623"/>
      <c r="H862" s="623"/>
      <c r="I862" s="621"/>
      <c r="L862" s="623"/>
      <c r="M862" s="624"/>
      <c r="N862" s="623"/>
      <c r="O862" s="623"/>
      <c r="P862" s="623"/>
      <c r="Q862" s="623"/>
    </row>
    <row r="863" spans="1:17">
      <c r="A863" s="621"/>
      <c r="C863" s="354"/>
      <c r="F863" s="622"/>
      <c r="G863" s="623"/>
      <c r="H863" s="623"/>
      <c r="I863" s="621"/>
      <c r="L863" s="623"/>
      <c r="M863" s="624"/>
      <c r="N863" s="623"/>
      <c r="O863" s="623"/>
      <c r="P863" s="623"/>
      <c r="Q863" s="623"/>
    </row>
    <row r="864" spans="1:17">
      <c r="A864" s="621"/>
      <c r="C864" s="354"/>
      <c r="F864" s="622"/>
      <c r="G864" s="623"/>
      <c r="H864" s="623"/>
      <c r="I864" s="621"/>
      <c r="L864" s="623"/>
      <c r="M864" s="624"/>
      <c r="N864" s="623"/>
      <c r="O864" s="623"/>
      <c r="P864" s="623"/>
      <c r="Q864" s="623"/>
    </row>
    <row r="865" spans="1:17">
      <c r="A865" s="621"/>
      <c r="C865" s="354"/>
      <c r="F865" s="622"/>
      <c r="G865" s="623"/>
      <c r="H865" s="623"/>
      <c r="I865" s="621"/>
      <c r="L865" s="623"/>
      <c r="M865" s="624"/>
      <c r="N865" s="623"/>
      <c r="O865" s="623"/>
      <c r="P865" s="623"/>
      <c r="Q865" s="623"/>
    </row>
    <row r="866" spans="1:17">
      <c r="A866" s="621"/>
      <c r="C866" s="354"/>
      <c r="F866" s="622"/>
      <c r="G866" s="623"/>
      <c r="H866" s="623"/>
      <c r="I866" s="621"/>
      <c r="L866" s="623"/>
      <c r="M866" s="624"/>
      <c r="N866" s="623"/>
      <c r="O866" s="623"/>
      <c r="P866" s="623"/>
      <c r="Q866" s="623"/>
    </row>
    <row r="867" spans="1:17">
      <c r="A867" s="621"/>
      <c r="C867" s="354"/>
      <c r="F867" s="622"/>
      <c r="G867" s="623"/>
      <c r="H867" s="623"/>
      <c r="I867" s="621"/>
      <c r="L867" s="623"/>
      <c r="M867" s="624"/>
      <c r="N867" s="623"/>
      <c r="O867" s="623"/>
      <c r="P867" s="623"/>
      <c r="Q867" s="623"/>
    </row>
    <row r="868" spans="1:17">
      <c r="A868" s="621"/>
      <c r="C868" s="354"/>
      <c r="F868" s="622"/>
      <c r="G868" s="623"/>
      <c r="H868" s="623"/>
      <c r="I868" s="621"/>
      <c r="L868" s="623"/>
      <c r="M868" s="624"/>
      <c r="N868" s="623"/>
      <c r="O868" s="623"/>
      <c r="P868" s="623"/>
      <c r="Q868" s="623"/>
    </row>
    <row r="869" spans="1:17">
      <c r="A869" s="621"/>
      <c r="C869" s="354"/>
      <c r="F869" s="622"/>
      <c r="G869" s="623"/>
      <c r="H869" s="623"/>
      <c r="I869" s="621"/>
      <c r="L869" s="623"/>
      <c r="M869" s="624"/>
      <c r="N869" s="623"/>
      <c r="O869" s="623"/>
      <c r="P869" s="623"/>
      <c r="Q869" s="623"/>
    </row>
    <row r="870" spans="1:17">
      <c r="A870" s="621"/>
      <c r="C870" s="354"/>
      <c r="F870" s="622"/>
      <c r="G870" s="623"/>
      <c r="H870" s="623"/>
      <c r="I870" s="621"/>
      <c r="L870" s="623"/>
      <c r="M870" s="624"/>
      <c r="N870" s="623"/>
      <c r="O870" s="623"/>
      <c r="P870" s="623"/>
      <c r="Q870" s="623"/>
    </row>
    <row r="871" spans="1:17">
      <c r="A871" s="621"/>
      <c r="C871" s="354"/>
      <c r="F871" s="622"/>
      <c r="G871" s="623"/>
      <c r="H871" s="623"/>
      <c r="I871" s="621"/>
      <c r="L871" s="623"/>
      <c r="M871" s="624"/>
      <c r="N871" s="623"/>
      <c r="O871" s="623"/>
      <c r="P871" s="623"/>
      <c r="Q871" s="623"/>
    </row>
    <row r="872" spans="1:17">
      <c r="A872" s="621"/>
      <c r="C872" s="354"/>
      <c r="F872" s="622"/>
      <c r="G872" s="623"/>
      <c r="H872" s="623"/>
      <c r="I872" s="621"/>
      <c r="L872" s="623"/>
      <c r="M872" s="624"/>
      <c r="N872" s="623"/>
      <c r="O872" s="623"/>
      <c r="P872" s="623"/>
      <c r="Q872" s="623"/>
    </row>
    <row r="873" spans="1:17">
      <c r="A873" s="621"/>
      <c r="C873" s="354"/>
      <c r="F873" s="622"/>
      <c r="G873" s="623"/>
      <c r="H873" s="623"/>
      <c r="I873" s="621"/>
      <c r="L873" s="623"/>
      <c r="M873" s="624"/>
      <c r="N873" s="623"/>
      <c r="O873" s="623"/>
      <c r="P873" s="623"/>
      <c r="Q873" s="623"/>
    </row>
    <row r="874" spans="1:17">
      <c r="A874" s="621"/>
      <c r="C874" s="354"/>
      <c r="F874" s="622"/>
      <c r="G874" s="623"/>
      <c r="H874" s="623"/>
      <c r="I874" s="621"/>
      <c r="L874" s="623"/>
      <c r="M874" s="624"/>
      <c r="N874" s="623"/>
      <c r="O874" s="623"/>
      <c r="P874" s="623"/>
      <c r="Q874" s="623"/>
    </row>
    <row r="875" spans="1:17">
      <c r="A875" s="621"/>
      <c r="C875" s="354"/>
      <c r="F875" s="622"/>
      <c r="G875" s="623"/>
      <c r="H875" s="623"/>
      <c r="I875" s="621"/>
      <c r="L875" s="623"/>
      <c r="M875" s="624"/>
      <c r="N875" s="623"/>
      <c r="O875" s="623"/>
      <c r="P875" s="623"/>
      <c r="Q875" s="623"/>
    </row>
    <row r="876" spans="1:17">
      <c r="A876" s="621"/>
      <c r="C876" s="354"/>
      <c r="F876" s="622"/>
      <c r="G876" s="623"/>
      <c r="H876" s="623"/>
      <c r="I876" s="621"/>
      <c r="L876" s="623"/>
      <c r="M876" s="624"/>
      <c r="N876" s="623"/>
      <c r="O876" s="623"/>
      <c r="P876" s="623"/>
      <c r="Q876" s="623"/>
    </row>
    <row r="877" spans="1:17">
      <c r="A877" s="621"/>
      <c r="C877" s="354"/>
      <c r="F877" s="622"/>
      <c r="G877" s="623"/>
      <c r="H877" s="623"/>
      <c r="I877" s="621"/>
      <c r="L877" s="623"/>
      <c r="M877" s="624"/>
      <c r="N877" s="623"/>
      <c r="O877" s="623"/>
      <c r="P877" s="623"/>
      <c r="Q877" s="623"/>
    </row>
    <row r="878" spans="1:17">
      <c r="A878" s="621"/>
      <c r="C878" s="354"/>
      <c r="F878" s="622"/>
      <c r="G878" s="623"/>
      <c r="H878" s="623"/>
      <c r="I878" s="621"/>
      <c r="L878" s="623"/>
      <c r="M878" s="624"/>
      <c r="N878" s="623"/>
      <c r="O878" s="623"/>
      <c r="P878" s="623"/>
      <c r="Q878" s="623"/>
    </row>
    <row r="879" spans="1:17">
      <c r="A879" s="621"/>
      <c r="C879" s="354"/>
      <c r="F879" s="622"/>
      <c r="G879" s="623"/>
      <c r="H879" s="623"/>
      <c r="I879" s="621"/>
      <c r="L879" s="623"/>
      <c r="M879" s="624"/>
      <c r="N879" s="623"/>
      <c r="O879" s="623"/>
      <c r="P879" s="623"/>
      <c r="Q879" s="623"/>
    </row>
    <row r="880" spans="1:17">
      <c r="A880" s="621"/>
      <c r="C880" s="354"/>
      <c r="F880" s="622"/>
      <c r="G880" s="623"/>
      <c r="H880" s="623"/>
      <c r="I880" s="621"/>
      <c r="L880" s="623"/>
      <c r="M880" s="624"/>
      <c r="N880" s="623"/>
      <c r="O880" s="623"/>
      <c r="P880" s="623"/>
      <c r="Q880" s="623"/>
    </row>
    <row r="881" spans="1:17">
      <c r="A881" s="621"/>
      <c r="C881" s="354"/>
      <c r="F881" s="622"/>
      <c r="G881" s="623"/>
      <c r="H881" s="623"/>
      <c r="I881" s="621"/>
      <c r="L881" s="623"/>
      <c r="M881" s="624"/>
      <c r="N881" s="623"/>
      <c r="O881" s="623"/>
      <c r="P881" s="623"/>
      <c r="Q881" s="623"/>
    </row>
    <row r="882" spans="1:17">
      <c r="A882" s="621"/>
      <c r="C882" s="354"/>
      <c r="F882" s="622"/>
      <c r="G882" s="623"/>
      <c r="H882" s="623"/>
      <c r="I882" s="621"/>
      <c r="L882" s="623"/>
      <c r="M882" s="624"/>
      <c r="N882" s="623"/>
      <c r="O882" s="623"/>
      <c r="P882" s="623"/>
      <c r="Q882" s="623"/>
    </row>
    <row r="883" spans="1:17">
      <c r="A883" s="621"/>
      <c r="C883" s="354"/>
      <c r="F883" s="622"/>
      <c r="G883" s="623"/>
      <c r="H883" s="623"/>
      <c r="I883" s="621"/>
      <c r="L883" s="623"/>
      <c r="M883" s="624"/>
      <c r="N883" s="623"/>
      <c r="O883" s="623"/>
      <c r="P883" s="623"/>
      <c r="Q883" s="623"/>
    </row>
    <row r="884" spans="1:17">
      <c r="A884" s="621"/>
      <c r="C884" s="354"/>
      <c r="F884" s="622"/>
      <c r="G884" s="623"/>
      <c r="H884" s="623"/>
      <c r="I884" s="621"/>
      <c r="L884" s="623"/>
      <c r="M884" s="624"/>
      <c r="N884" s="623"/>
      <c r="O884" s="623"/>
      <c r="P884" s="623"/>
      <c r="Q884" s="623"/>
    </row>
    <row r="885" spans="1:17">
      <c r="A885" s="621"/>
      <c r="C885" s="354"/>
      <c r="F885" s="622"/>
      <c r="G885" s="623"/>
      <c r="H885" s="623"/>
      <c r="I885" s="621"/>
      <c r="L885" s="623"/>
      <c r="M885" s="624"/>
      <c r="N885" s="623"/>
      <c r="O885" s="623"/>
      <c r="P885" s="623"/>
      <c r="Q885" s="623"/>
    </row>
    <row r="886" spans="1:17">
      <c r="A886" s="621"/>
      <c r="C886" s="354"/>
      <c r="F886" s="622"/>
      <c r="G886" s="623"/>
      <c r="H886" s="623"/>
      <c r="I886" s="621"/>
      <c r="L886" s="623"/>
      <c r="M886" s="624"/>
      <c r="N886" s="623"/>
      <c r="O886" s="623"/>
      <c r="P886" s="623"/>
      <c r="Q886" s="623"/>
    </row>
    <row r="887" spans="1:17">
      <c r="A887" s="621"/>
      <c r="C887" s="354"/>
      <c r="F887" s="622"/>
      <c r="G887" s="623"/>
      <c r="H887" s="623"/>
      <c r="I887" s="621"/>
      <c r="L887" s="623"/>
      <c r="M887" s="624"/>
      <c r="N887" s="623"/>
      <c r="O887" s="623"/>
      <c r="P887" s="623"/>
      <c r="Q887" s="623"/>
    </row>
    <row r="888" spans="1:17">
      <c r="A888" s="621"/>
      <c r="C888" s="354"/>
      <c r="F888" s="622"/>
      <c r="G888" s="623"/>
      <c r="H888" s="623"/>
      <c r="I888" s="621"/>
      <c r="L888" s="623"/>
      <c r="M888" s="624"/>
      <c r="N888" s="623"/>
      <c r="O888" s="623"/>
      <c r="P888" s="623"/>
      <c r="Q888" s="623"/>
    </row>
    <row r="889" spans="1:17">
      <c r="A889" s="621"/>
      <c r="C889" s="354"/>
      <c r="F889" s="622"/>
      <c r="G889" s="623"/>
      <c r="H889" s="623"/>
      <c r="I889" s="621"/>
      <c r="L889" s="623"/>
      <c r="M889" s="624"/>
      <c r="N889" s="623"/>
      <c r="O889" s="623"/>
      <c r="P889" s="623"/>
      <c r="Q889" s="623"/>
    </row>
    <row r="890" spans="1:17">
      <c r="A890" s="621"/>
      <c r="C890" s="354"/>
      <c r="F890" s="622"/>
      <c r="G890" s="623"/>
      <c r="H890" s="623"/>
      <c r="I890" s="621"/>
      <c r="L890" s="623"/>
      <c r="M890" s="624"/>
      <c r="N890" s="623"/>
      <c r="O890" s="623"/>
      <c r="P890" s="623"/>
      <c r="Q890" s="623"/>
    </row>
    <row r="891" spans="1:17">
      <c r="A891" s="621"/>
      <c r="C891" s="354"/>
      <c r="F891" s="622"/>
      <c r="G891" s="623"/>
      <c r="H891" s="623"/>
      <c r="I891" s="621"/>
      <c r="L891" s="623"/>
      <c r="M891" s="624"/>
      <c r="N891" s="623"/>
      <c r="O891" s="623"/>
      <c r="P891" s="623"/>
      <c r="Q891" s="623"/>
    </row>
    <row r="892" spans="1:17">
      <c r="A892" s="621"/>
      <c r="C892" s="354"/>
      <c r="F892" s="622"/>
      <c r="G892" s="623"/>
      <c r="H892" s="623"/>
      <c r="I892" s="621"/>
      <c r="L892" s="623"/>
      <c r="M892" s="624"/>
      <c r="N892" s="623"/>
      <c r="O892" s="623"/>
      <c r="P892" s="623"/>
      <c r="Q892" s="623"/>
    </row>
    <row r="893" spans="1:17">
      <c r="A893" s="621"/>
      <c r="C893" s="354"/>
      <c r="F893" s="622"/>
      <c r="G893" s="623"/>
      <c r="H893" s="623"/>
      <c r="I893" s="621"/>
      <c r="L893" s="623"/>
      <c r="M893" s="624"/>
      <c r="N893" s="623"/>
      <c r="O893" s="623"/>
      <c r="P893" s="623"/>
      <c r="Q893" s="623"/>
    </row>
    <row r="894" spans="1:17">
      <c r="A894" s="621"/>
      <c r="C894" s="354"/>
      <c r="F894" s="622"/>
      <c r="G894" s="623"/>
      <c r="H894" s="623"/>
      <c r="I894" s="621"/>
      <c r="L894" s="623"/>
      <c r="M894" s="624"/>
      <c r="N894" s="623"/>
      <c r="O894" s="623"/>
      <c r="P894" s="623"/>
      <c r="Q894" s="623"/>
    </row>
    <row r="895" spans="1:17">
      <c r="A895" s="621"/>
      <c r="C895" s="354"/>
      <c r="F895" s="622"/>
      <c r="G895" s="623"/>
      <c r="H895" s="623"/>
      <c r="I895" s="621"/>
      <c r="L895" s="623"/>
      <c r="M895" s="624"/>
      <c r="N895" s="623"/>
      <c r="O895" s="623"/>
      <c r="P895" s="623"/>
      <c r="Q895" s="623"/>
    </row>
    <row r="896" spans="1:17">
      <c r="A896" s="621"/>
      <c r="C896" s="354"/>
      <c r="F896" s="622"/>
      <c r="G896" s="623"/>
      <c r="H896" s="623"/>
      <c r="I896" s="621"/>
      <c r="L896" s="623"/>
      <c r="M896" s="624"/>
      <c r="N896" s="623"/>
      <c r="O896" s="623"/>
      <c r="P896" s="623"/>
      <c r="Q896" s="623"/>
    </row>
    <row r="897" spans="1:17">
      <c r="A897" s="621"/>
      <c r="C897" s="354"/>
      <c r="F897" s="622"/>
      <c r="G897" s="623"/>
      <c r="H897" s="623"/>
      <c r="I897" s="621"/>
      <c r="L897" s="623"/>
      <c r="M897" s="624"/>
      <c r="N897" s="623"/>
      <c r="O897" s="623"/>
      <c r="P897" s="623"/>
      <c r="Q897" s="623"/>
    </row>
    <row r="898" spans="1:17">
      <c r="A898" s="621"/>
      <c r="C898" s="354"/>
      <c r="F898" s="622"/>
      <c r="G898" s="623"/>
      <c r="H898" s="623"/>
      <c r="I898" s="621"/>
      <c r="L898" s="623"/>
      <c r="M898" s="624"/>
      <c r="N898" s="623"/>
      <c r="O898" s="623"/>
      <c r="P898" s="623"/>
      <c r="Q898" s="623"/>
    </row>
    <row r="899" spans="1:17">
      <c r="A899" s="621"/>
      <c r="C899" s="354"/>
      <c r="F899" s="622"/>
      <c r="G899" s="623"/>
      <c r="H899" s="623"/>
      <c r="I899" s="621"/>
      <c r="L899" s="623"/>
      <c r="M899" s="624"/>
      <c r="N899" s="623"/>
      <c r="O899" s="623"/>
      <c r="P899" s="623"/>
      <c r="Q899" s="623"/>
    </row>
    <row r="900" spans="1:17">
      <c r="A900" s="621"/>
      <c r="C900" s="354"/>
      <c r="F900" s="622"/>
      <c r="G900" s="623"/>
      <c r="H900" s="623"/>
      <c r="I900" s="621"/>
      <c r="L900" s="623"/>
      <c r="M900" s="624"/>
      <c r="N900" s="623"/>
      <c r="O900" s="623"/>
      <c r="P900" s="623"/>
      <c r="Q900" s="623"/>
    </row>
    <row r="901" spans="1:17">
      <c r="A901" s="621"/>
      <c r="C901" s="354"/>
      <c r="F901" s="622"/>
      <c r="G901" s="623"/>
      <c r="H901" s="623"/>
      <c r="I901" s="621"/>
      <c r="L901" s="623"/>
      <c r="M901" s="624"/>
      <c r="N901" s="623"/>
      <c r="O901" s="623"/>
      <c r="P901" s="623"/>
      <c r="Q901" s="623"/>
    </row>
    <row r="902" spans="1:17">
      <c r="A902" s="621"/>
      <c r="C902" s="354"/>
      <c r="F902" s="622"/>
      <c r="G902" s="623"/>
      <c r="H902" s="623"/>
      <c r="I902" s="621"/>
      <c r="L902" s="623"/>
      <c r="M902" s="624"/>
      <c r="N902" s="623"/>
      <c r="O902" s="623"/>
      <c r="P902" s="623"/>
      <c r="Q902" s="623"/>
    </row>
    <row r="903" spans="1:17">
      <c r="A903" s="621"/>
      <c r="C903" s="354"/>
      <c r="F903" s="622"/>
      <c r="G903" s="623"/>
      <c r="H903" s="623"/>
      <c r="I903" s="621"/>
      <c r="L903" s="623"/>
      <c r="M903" s="624"/>
      <c r="N903" s="623"/>
      <c r="O903" s="623"/>
      <c r="P903" s="623"/>
      <c r="Q903" s="623"/>
    </row>
    <row r="904" spans="1:17">
      <c r="A904" s="621"/>
      <c r="C904" s="354"/>
      <c r="F904" s="622"/>
      <c r="G904" s="623"/>
      <c r="H904" s="623"/>
      <c r="I904" s="621"/>
      <c r="L904" s="623"/>
      <c r="M904" s="624"/>
      <c r="N904" s="623"/>
      <c r="O904" s="623"/>
      <c r="P904" s="623"/>
      <c r="Q904" s="623"/>
    </row>
    <row r="905" spans="1:17">
      <c r="A905" s="621"/>
      <c r="C905" s="354"/>
      <c r="F905" s="622"/>
      <c r="G905" s="623"/>
      <c r="H905" s="623"/>
      <c r="I905" s="621"/>
      <c r="L905" s="623"/>
      <c r="M905" s="624"/>
      <c r="N905" s="623"/>
      <c r="O905" s="623"/>
      <c r="P905" s="623"/>
      <c r="Q905" s="623"/>
    </row>
    <row r="906" spans="1:17">
      <c r="A906" s="621"/>
      <c r="C906" s="354"/>
      <c r="F906" s="622"/>
      <c r="G906" s="623"/>
      <c r="H906" s="623"/>
      <c r="I906" s="621"/>
      <c r="L906" s="623"/>
      <c r="M906" s="624"/>
      <c r="N906" s="623"/>
      <c r="O906" s="623"/>
      <c r="P906" s="623"/>
      <c r="Q906" s="623"/>
    </row>
    <row r="907" spans="1:17">
      <c r="A907" s="621"/>
      <c r="C907" s="354"/>
      <c r="F907" s="622"/>
      <c r="G907" s="623"/>
      <c r="H907" s="623"/>
      <c r="I907" s="621"/>
      <c r="L907" s="623"/>
      <c r="M907" s="624"/>
      <c r="N907" s="623"/>
      <c r="O907" s="623"/>
      <c r="P907" s="623"/>
      <c r="Q907" s="623"/>
    </row>
    <row r="908" spans="1:17">
      <c r="A908" s="621"/>
      <c r="C908" s="354"/>
      <c r="F908" s="622"/>
      <c r="G908" s="623"/>
      <c r="H908" s="623"/>
      <c r="I908" s="621"/>
      <c r="L908" s="623"/>
      <c r="M908" s="624"/>
      <c r="N908" s="623"/>
      <c r="O908" s="623"/>
      <c r="P908" s="623"/>
      <c r="Q908" s="623"/>
    </row>
    <row r="909" spans="1:17">
      <c r="A909" s="621"/>
      <c r="C909" s="354"/>
      <c r="F909" s="622"/>
      <c r="G909" s="623"/>
      <c r="H909" s="623"/>
      <c r="I909" s="621"/>
      <c r="L909" s="623"/>
      <c r="M909" s="624"/>
      <c r="N909" s="623"/>
      <c r="O909" s="623"/>
      <c r="P909" s="623"/>
      <c r="Q909" s="623"/>
    </row>
    <row r="910" spans="1:17">
      <c r="A910" s="621"/>
      <c r="C910" s="354"/>
      <c r="F910" s="622"/>
      <c r="G910" s="623"/>
      <c r="H910" s="623"/>
      <c r="I910" s="621"/>
      <c r="L910" s="623"/>
      <c r="M910" s="624"/>
      <c r="N910" s="623"/>
      <c r="O910" s="623"/>
      <c r="P910" s="623"/>
      <c r="Q910" s="623"/>
    </row>
    <row r="911" spans="1:17">
      <c r="A911" s="621"/>
      <c r="C911" s="354"/>
      <c r="F911" s="622"/>
      <c r="G911" s="623"/>
      <c r="H911" s="623"/>
      <c r="I911" s="621"/>
      <c r="L911" s="623"/>
      <c r="M911" s="624"/>
      <c r="N911" s="623"/>
      <c r="O911" s="623"/>
      <c r="P911" s="623"/>
      <c r="Q911" s="623"/>
    </row>
    <row r="912" spans="1:17">
      <c r="A912" s="621"/>
      <c r="C912" s="354"/>
      <c r="F912" s="622"/>
      <c r="G912" s="623"/>
      <c r="H912" s="623"/>
      <c r="I912" s="621"/>
      <c r="L912" s="623"/>
      <c r="M912" s="624"/>
      <c r="N912" s="623"/>
      <c r="O912" s="623"/>
      <c r="P912" s="623"/>
      <c r="Q912" s="623"/>
    </row>
    <row r="913" spans="1:17">
      <c r="A913" s="621"/>
      <c r="C913" s="354"/>
      <c r="F913" s="622"/>
      <c r="G913" s="623"/>
      <c r="H913" s="623"/>
      <c r="I913" s="621"/>
      <c r="L913" s="623"/>
      <c r="M913" s="624"/>
      <c r="N913" s="623"/>
      <c r="O913" s="623"/>
      <c r="P913" s="623"/>
      <c r="Q913" s="623"/>
    </row>
    <row r="914" spans="1:17">
      <c r="A914" s="621"/>
      <c r="C914" s="354"/>
      <c r="F914" s="622"/>
      <c r="G914" s="623"/>
      <c r="H914" s="623"/>
      <c r="I914" s="621"/>
      <c r="L914" s="623"/>
      <c r="M914" s="624"/>
      <c r="N914" s="623"/>
      <c r="O914" s="623"/>
      <c r="P914" s="623"/>
      <c r="Q914" s="623"/>
    </row>
    <row r="915" spans="1:17">
      <c r="A915" s="621"/>
      <c r="C915" s="354"/>
      <c r="F915" s="622"/>
      <c r="G915" s="623"/>
      <c r="H915" s="623"/>
      <c r="I915" s="621"/>
      <c r="L915" s="623"/>
      <c r="M915" s="624"/>
      <c r="N915" s="623"/>
      <c r="O915" s="623"/>
      <c r="P915" s="623"/>
      <c r="Q915" s="623"/>
    </row>
    <row r="916" spans="1:17">
      <c r="A916" s="621"/>
      <c r="C916" s="354"/>
      <c r="F916" s="622"/>
      <c r="G916" s="623"/>
      <c r="H916" s="623"/>
      <c r="I916" s="621"/>
      <c r="L916" s="623"/>
      <c r="M916" s="624"/>
      <c r="N916" s="623"/>
      <c r="O916" s="623"/>
      <c r="P916" s="623"/>
      <c r="Q916" s="623"/>
    </row>
    <row r="917" spans="1:17">
      <c r="A917" s="621"/>
      <c r="C917" s="354"/>
      <c r="F917" s="622"/>
      <c r="G917" s="623"/>
      <c r="H917" s="623"/>
      <c r="I917" s="621"/>
      <c r="L917" s="623"/>
      <c r="M917" s="624"/>
      <c r="N917" s="623"/>
      <c r="O917" s="623"/>
      <c r="P917" s="623"/>
      <c r="Q917" s="623"/>
    </row>
    <row r="918" spans="1:17">
      <c r="A918" s="621"/>
      <c r="C918" s="354"/>
      <c r="F918" s="622"/>
      <c r="G918" s="623"/>
      <c r="H918" s="623"/>
      <c r="I918" s="621"/>
      <c r="L918" s="623"/>
      <c r="M918" s="624"/>
      <c r="N918" s="623"/>
      <c r="O918" s="623"/>
      <c r="P918" s="623"/>
      <c r="Q918" s="623"/>
    </row>
    <row r="919" spans="1:17">
      <c r="A919" s="621"/>
      <c r="C919" s="354"/>
      <c r="F919" s="622"/>
      <c r="G919" s="623"/>
      <c r="H919" s="623"/>
      <c r="I919" s="621"/>
      <c r="L919" s="623"/>
      <c r="M919" s="624"/>
      <c r="N919" s="623"/>
      <c r="O919" s="623"/>
      <c r="P919" s="623"/>
      <c r="Q919" s="623"/>
    </row>
    <row r="920" spans="1:17">
      <c r="A920" s="621"/>
      <c r="C920" s="354"/>
      <c r="F920" s="622"/>
      <c r="G920" s="623"/>
      <c r="H920" s="623"/>
      <c r="I920" s="621"/>
      <c r="L920" s="623"/>
      <c r="M920" s="624"/>
      <c r="N920" s="623"/>
      <c r="O920" s="623"/>
      <c r="P920" s="623"/>
      <c r="Q920" s="623"/>
    </row>
    <row r="921" spans="1:17">
      <c r="A921" s="621"/>
      <c r="C921" s="354"/>
      <c r="F921" s="622"/>
      <c r="G921" s="623"/>
      <c r="H921" s="623"/>
      <c r="I921" s="621"/>
      <c r="L921" s="623"/>
      <c r="M921" s="624"/>
      <c r="N921" s="623"/>
      <c r="O921" s="623"/>
      <c r="P921" s="623"/>
      <c r="Q921" s="623"/>
    </row>
    <row r="922" spans="1:17">
      <c r="A922" s="621"/>
      <c r="C922" s="354"/>
      <c r="F922" s="622"/>
      <c r="G922" s="623"/>
      <c r="H922" s="623"/>
      <c r="I922" s="621"/>
      <c r="L922" s="623"/>
      <c r="M922" s="624"/>
      <c r="N922" s="623"/>
      <c r="O922" s="623"/>
      <c r="P922" s="623"/>
      <c r="Q922" s="623"/>
    </row>
    <row r="923" spans="1:17">
      <c r="A923" s="621"/>
      <c r="C923" s="354"/>
      <c r="F923" s="622"/>
      <c r="G923" s="623"/>
      <c r="H923" s="623"/>
      <c r="I923" s="621"/>
      <c r="L923" s="623"/>
      <c r="M923" s="624"/>
      <c r="N923" s="623"/>
      <c r="O923" s="623"/>
      <c r="P923" s="623"/>
      <c r="Q923" s="623"/>
    </row>
    <row r="924" spans="1:17">
      <c r="A924" s="621"/>
      <c r="C924" s="354"/>
      <c r="F924" s="622"/>
      <c r="G924" s="623"/>
      <c r="H924" s="623"/>
      <c r="I924" s="621"/>
      <c r="L924" s="623"/>
      <c r="M924" s="624"/>
      <c r="N924" s="623"/>
      <c r="O924" s="623"/>
      <c r="P924" s="623"/>
      <c r="Q924" s="623"/>
    </row>
    <row r="925" spans="1:17">
      <c r="A925" s="621"/>
      <c r="C925" s="354"/>
      <c r="F925" s="622"/>
      <c r="G925" s="623"/>
      <c r="H925" s="623"/>
      <c r="I925" s="621"/>
      <c r="L925" s="623"/>
      <c r="M925" s="624"/>
      <c r="N925" s="623"/>
      <c r="O925" s="623"/>
      <c r="P925" s="623"/>
      <c r="Q925" s="623"/>
    </row>
    <row r="926" spans="1:17">
      <c r="A926" s="621"/>
      <c r="C926" s="354"/>
      <c r="F926" s="622"/>
      <c r="G926" s="623"/>
      <c r="H926" s="623"/>
      <c r="I926" s="621"/>
      <c r="L926" s="623"/>
      <c r="M926" s="624"/>
      <c r="N926" s="623"/>
      <c r="O926" s="623"/>
      <c r="P926" s="623"/>
      <c r="Q926" s="623"/>
    </row>
    <row r="927" spans="1:17">
      <c r="A927" s="621"/>
      <c r="C927" s="354"/>
      <c r="F927" s="622"/>
      <c r="G927" s="623"/>
      <c r="H927" s="623"/>
      <c r="I927" s="621"/>
      <c r="L927" s="623"/>
      <c r="M927" s="624"/>
      <c r="N927" s="623"/>
      <c r="O927" s="623"/>
      <c r="P927" s="623"/>
      <c r="Q927" s="623"/>
    </row>
    <row r="928" spans="1:17">
      <c r="A928" s="621"/>
      <c r="C928" s="354"/>
      <c r="F928" s="622"/>
      <c r="G928" s="623"/>
      <c r="H928" s="623"/>
      <c r="I928" s="621"/>
      <c r="L928" s="623"/>
      <c r="M928" s="624"/>
      <c r="N928" s="623"/>
      <c r="O928" s="623"/>
      <c r="P928" s="623"/>
      <c r="Q928" s="623"/>
    </row>
    <row r="929" spans="1:17">
      <c r="A929" s="621"/>
      <c r="C929" s="354"/>
      <c r="F929" s="622"/>
      <c r="G929" s="623"/>
      <c r="H929" s="623"/>
      <c r="I929" s="621"/>
      <c r="L929" s="623"/>
      <c r="M929" s="624"/>
      <c r="N929" s="623"/>
      <c r="O929" s="623"/>
      <c r="P929" s="623"/>
      <c r="Q929" s="623"/>
    </row>
    <row r="930" spans="1:17">
      <c r="A930" s="621"/>
      <c r="C930" s="354"/>
      <c r="F930" s="622"/>
      <c r="G930" s="623"/>
      <c r="H930" s="623"/>
      <c r="I930" s="621"/>
      <c r="L930" s="623"/>
      <c r="M930" s="624"/>
      <c r="N930" s="623"/>
      <c r="O930" s="623"/>
      <c r="P930" s="623"/>
      <c r="Q930" s="623"/>
    </row>
    <row r="931" spans="1:17">
      <c r="A931" s="621"/>
      <c r="C931" s="354"/>
      <c r="F931" s="622"/>
      <c r="G931" s="623"/>
      <c r="H931" s="623"/>
      <c r="I931" s="621"/>
      <c r="L931" s="623"/>
      <c r="M931" s="624"/>
      <c r="N931" s="623"/>
      <c r="O931" s="623"/>
      <c r="P931" s="623"/>
      <c r="Q931" s="623"/>
    </row>
    <row r="932" spans="1:17">
      <c r="A932" s="621"/>
      <c r="C932" s="354"/>
      <c r="F932" s="622"/>
      <c r="G932" s="623"/>
      <c r="H932" s="623"/>
      <c r="I932" s="621"/>
      <c r="L932" s="623"/>
      <c r="M932" s="624"/>
      <c r="N932" s="623"/>
      <c r="O932" s="623"/>
      <c r="P932" s="623"/>
      <c r="Q932" s="623"/>
    </row>
    <row r="933" spans="1:17">
      <c r="A933" s="621"/>
      <c r="C933" s="354"/>
      <c r="F933" s="622"/>
      <c r="G933" s="623"/>
      <c r="H933" s="623"/>
      <c r="I933" s="621"/>
      <c r="L933" s="623"/>
      <c r="M933" s="624"/>
      <c r="N933" s="623"/>
      <c r="O933" s="623"/>
      <c r="P933" s="623"/>
      <c r="Q933" s="623"/>
    </row>
    <row r="934" spans="1:17">
      <c r="A934" s="621"/>
      <c r="C934" s="354"/>
      <c r="F934" s="622"/>
      <c r="G934" s="623"/>
      <c r="H934" s="623"/>
      <c r="I934" s="621"/>
      <c r="L934" s="623"/>
      <c r="M934" s="624"/>
      <c r="N934" s="623"/>
      <c r="O934" s="623"/>
      <c r="P934" s="623"/>
      <c r="Q934" s="623"/>
    </row>
    <row r="935" spans="1:17">
      <c r="A935" s="621"/>
      <c r="C935" s="354"/>
      <c r="F935" s="622"/>
      <c r="G935" s="623"/>
      <c r="H935" s="623"/>
      <c r="I935" s="621"/>
      <c r="L935" s="623"/>
      <c r="M935" s="624"/>
      <c r="N935" s="623"/>
      <c r="O935" s="623"/>
      <c r="P935" s="623"/>
      <c r="Q935" s="623"/>
    </row>
    <row r="936" spans="1:17">
      <c r="A936" s="621"/>
      <c r="C936" s="354"/>
      <c r="F936" s="622"/>
      <c r="G936" s="623"/>
      <c r="H936" s="623"/>
      <c r="I936" s="621"/>
      <c r="L936" s="623"/>
      <c r="M936" s="624"/>
      <c r="N936" s="623"/>
      <c r="O936" s="623"/>
      <c r="P936" s="623"/>
      <c r="Q936" s="623"/>
    </row>
    <row r="937" spans="1:17">
      <c r="A937" s="621"/>
      <c r="C937" s="354"/>
      <c r="F937" s="622"/>
      <c r="G937" s="623"/>
      <c r="H937" s="623"/>
      <c r="I937" s="621"/>
      <c r="L937" s="623"/>
      <c r="M937" s="624"/>
      <c r="N937" s="623"/>
      <c r="O937" s="623"/>
      <c r="P937" s="623"/>
      <c r="Q937" s="623"/>
    </row>
    <row r="938" spans="1:17">
      <c r="A938" s="621"/>
      <c r="C938" s="354"/>
      <c r="F938" s="622"/>
      <c r="G938" s="623"/>
      <c r="H938" s="623"/>
      <c r="I938" s="621"/>
      <c r="L938" s="623"/>
      <c r="M938" s="624"/>
      <c r="N938" s="623"/>
      <c r="O938" s="623"/>
      <c r="P938" s="623"/>
      <c r="Q938" s="623"/>
    </row>
    <row r="939" spans="1:17">
      <c r="A939" s="621"/>
      <c r="C939" s="354"/>
      <c r="F939" s="622"/>
      <c r="G939" s="623"/>
      <c r="H939" s="623"/>
      <c r="I939" s="621"/>
      <c r="L939" s="623"/>
      <c r="M939" s="624"/>
      <c r="N939" s="623"/>
      <c r="O939" s="623"/>
      <c r="P939" s="623"/>
      <c r="Q939" s="623"/>
    </row>
    <row r="940" spans="1:17">
      <c r="A940" s="621"/>
      <c r="C940" s="354"/>
      <c r="F940" s="622"/>
      <c r="G940" s="623"/>
      <c r="H940" s="623"/>
      <c r="I940" s="621"/>
      <c r="L940" s="623"/>
      <c r="M940" s="624"/>
      <c r="N940" s="623"/>
      <c r="O940" s="623"/>
      <c r="P940" s="623"/>
      <c r="Q940" s="623"/>
    </row>
    <row r="941" spans="1:17">
      <c r="A941" s="621"/>
      <c r="C941" s="354"/>
      <c r="F941" s="622"/>
      <c r="G941" s="623"/>
      <c r="H941" s="623"/>
      <c r="I941" s="621"/>
      <c r="L941" s="623"/>
      <c r="M941" s="624"/>
      <c r="N941" s="623"/>
      <c r="O941" s="623"/>
      <c r="P941" s="623"/>
      <c r="Q941" s="623"/>
    </row>
    <row r="942" spans="1:17">
      <c r="A942" s="621"/>
      <c r="C942" s="354"/>
      <c r="F942" s="622"/>
      <c r="G942" s="623"/>
      <c r="H942" s="623"/>
      <c r="I942" s="621"/>
      <c r="L942" s="623"/>
      <c r="M942" s="624"/>
      <c r="N942" s="623"/>
      <c r="O942" s="623"/>
      <c r="P942" s="623"/>
      <c r="Q942" s="623"/>
    </row>
    <row r="943" spans="1:17">
      <c r="A943" s="621"/>
      <c r="C943" s="354"/>
      <c r="F943" s="622"/>
      <c r="G943" s="623"/>
      <c r="H943" s="623"/>
      <c r="I943" s="621"/>
      <c r="L943" s="623"/>
      <c r="M943" s="624"/>
      <c r="N943" s="623"/>
      <c r="O943" s="623"/>
      <c r="P943" s="623"/>
      <c r="Q943" s="623"/>
    </row>
    <row r="944" spans="1:17">
      <c r="A944" s="621"/>
      <c r="C944" s="354"/>
      <c r="F944" s="622"/>
      <c r="G944" s="623"/>
      <c r="H944" s="623"/>
      <c r="I944" s="621"/>
      <c r="L944" s="623"/>
      <c r="M944" s="624"/>
      <c r="N944" s="623"/>
      <c r="O944" s="623"/>
      <c r="P944" s="623"/>
      <c r="Q944" s="623"/>
    </row>
    <row r="945" spans="1:17">
      <c r="A945" s="621"/>
      <c r="C945" s="354"/>
      <c r="F945" s="622"/>
      <c r="G945" s="623"/>
      <c r="H945" s="623"/>
      <c r="I945" s="621"/>
      <c r="L945" s="623"/>
      <c r="M945" s="624"/>
      <c r="N945" s="623"/>
      <c r="O945" s="623"/>
      <c r="P945" s="623"/>
      <c r="Q945" s="623"/>
    </row>
    <row r="946" spans="1:17">
      <c r="A946" s="621"/>
      <c r="C946" s="354"/>
      <c r="F946" s="622"/>
      <c r="G946" s="623"/>
      <c r="H946" s="623"/>
      <c r="I946" s="621"/>
      <c r="L946" s="623"/>
      <c r="M946" s="624"/>
      <c r="N946" s="623"/>
      <c r="O946" s="623"/>
      <c r="P946" s="623"/>
      <c r="Q946" s="623"/>
    </row>
    <row r="947" spans="1:17">
      <c r="A947" s="621"/>
      <c r="C947" s="354"/>
      <c r="F947" s="622"/>
      <c r="G947" s="623"/>
      <c r="H947" s="623"/>
      <c r="I947" s="621"/>
      <c r="L947" s="623"/>
      <c r="M947" s="624"/>
      <c r="N947" s="623"/>
      <c r="O947" s="623"/>
      <c r="P947" s="623"/>
      <c r="Q947" s="623"/>
    </row>
    <row r="948" spans="1:17">
      <c r="A948" s="621"/>
      <c r="C948" s="354"/>
      <c r="F948" s="622"/>
      <c r="G948" s="623"/>
      <c r="H948" s="623"/>
      <c r="I948" s="621"/>
      <c r="L948" s="623"/>
      <c r="M948" s="624"/>
      <c r="N948" s="623"/>
      <c r="O948" s="623"/>
      <c r="P948" s="623"/>
      <c r="Q948" s="623"/>
    </row>
    <row r="949" spans="1:17">
      <c r="A949" s="621"/>
      <c r="C949" s="354"/>
      <c r="F949" s="622"/>
      <c r="G949" s="623"/>
      <c r="H949" s="623"/>
      <c r="I949" s="621"/>
      <c r="L949" s="623"/>
      <c r="M949" s="624"/>
      <c r="N949" s="623"/>
      <c r="O949" s="623"/>
      <c r="P949" s="623"/>
      <c r="Q949" s="623"/>
    </row>
    <row r="950" spans="1:17">
      <c r="A950" s="621"/>
      <c r="C950" s="354"/>
      <c r="F950" s="622"/>
      <c r="G950" s="623"/>
      <c r="H950" s="623"/>
      <c r="I950" s="621"/>
      <c r="L950" s="623"/>
      <c r="M950" s="624"/>
      <c r="N950" s="623"/>
      <c r="O950" s="623"/>
      <c r="P950" s="623"/>
      <c r="Q950" s="623"/>
    </row>
    <row r="951" spans="1:17">
      <c r="A951" s="621"/>
      <c r="C951" s="354"/>
      <c r="F951" s="622"/>
      <c r="G951" s="623"/>
      <c r="H951" s="623"/>
      <c r="I951" s="621"/>
      <c r="L951" s="623"/>
      <c r="M951" s="624"/>
      <c r="N951" s="623"/>
      <c r="O951" s="623"/>
      <c r="P951" s="623"/>
      <c r="Q951" s="623"/>
    </row>
    <row r="952" spans="1:17">
      <c r="A952" s="621"/>
      <c r="C952" s="354"/>
      <c r="F952" s="622"/>
      <c r="G952" s="623"/>
      <c r="H952" s="623"/>
      <c r="I952" s="621"/>
      <c r="L952" s="623"/>
      <c r="M952" s="624"/>
      <c r="N952" s="623"/>
      <c r="O952" s="623"/>
      <c r="P952" s="623"/>
      <c r="Q952" s="623"/>
    </row>
    <row r="953" spans="1:17">
      <c r="A953" s="621"/>
      <c r="C953" s="354"/>
      <c r="F953" s="622"/>
      <c r="G953" s="623"/>
      <c r="H953" s="623"/>
      <c r="I953" s="621"/>
      <c r="L953" s="623"/>
      <c r="M953" s="624"/>
      <c r="N953" s="623"/>
      <c r="O953" s="623"/>
      <c r="P953" s="623"/>
      <c r="Q953" s="623"/>
    </row>
    <row r="954" spans="1:17">
      <c r="A954" s="621"/>
      <c r="C954" s="354"/>
      <c r="F954" s="622"/>
      <c r="G954" s="623"/>
      <c r="H954" s="623"/>
      <c r="I954" s="621"/>
      <c r="L954" s="623"/>
      <c r="M954" s="624"/>
      <c r="N954" s="623"/>
      <c r="O954" s="623"/>
      <c r="P954" s="623"/>
      <c r="Q954" s="623"/>
    </row>
    <row r="955" spans="1:17">
      <c r="A955" s="621"/>
      <c r="C955" s="354"/>
      <c r="F955" s="622"/>
      <c r="G955" s="623"/>
      <c r="H955" s="623"/>
      <c r="I955" s="621"/>
      <c r="L955" s="623"/>
      <c r="M955" s="624"/>
      <c r="N955" s="623"/>
      <c r="O955" s="623"/>
      <c r="P955" s="623"/>
      <c r="Q955" s="623"/>
    </row>
    <row r="956" spans="1:17">
      <c r="A956" s="621"/>
      <c r="C956" s="354"/>
      <c r="F956" s="622"/>
      <c r="G956" s="623"/>
      <c r="H956" s="623"/>
      <c r="I956" s="621"/>
      <c r="L956" s="623"/>
      <c r="M956" s="624"/>
      <c r="N956" s="623"/>
      <c r="O956" s="623"/>
      <c r="P956" s="623"/>
      <c r="Q956" s="623"/>
    </row>
    <row r="957" spans="1:17">
      <c r="A957" s="621"/>
      <c r="C957" s="354"/>
      <c r="F957" s="622"/>
      <c r="G957" s="623"/>
      <c r="H957" s="623"/>
      <c r="I957" s="621"/>
      <c r="L957" s="623"/>
      <c r="M957" s="624"/>
      <c r="N957" s="623"/>
      <c r="O957" s="623"/>
      <c r="P957" s="623"/>
      <c r="Q957" s="623"/>
    </row>
    <row r="958" spans="1:17">
      <c r="A958" s="621"/>
      <c r="C958" s="354"/>
      <c r="F958" s="622"/>
      <c r="G958" s="623"/>
      <c r="H958" s="623"/>
      <c r="I958" s="621"/>
      <c r="L958" s="623"/>
      <c r="M958" s="624"/>
      <c r="N958" s="623"/>
      <c r="O958" s="623"/>
      <c r="P958" s="623"/>
      <c r="Q958" s="623"/>
    </row>
    <row r="959" spans="1:17">
      <c r="A959" s="621"/>
      <c r="C959" s="354"/>
      <c r="F959" s="622"/>
      <c r="G959" s="623"/>
      <c r="H959" s="623"/>
      <c r="I959" s="621"/>
      <c r="L959" s="623"/>
      <c r="M959" s="624"/>
      <c r="N959" s="623"/>
      <c r="O959" s="623"/>
      <c r="P959" s="623"/>
      <c r="Q959" s="623"/>
    </row>
    <row r="960" spans="1:17">
      <c r="A960" s="621"/>
      <c r="C960" s="354"/>
      <c r="F960" s="622"/>
      <c r="G960" s="623"/>
      <c r="H960" s="623"/>
      <c r="I960" s="621"/>
      <c r="L960" s="623"/>
      <c r="M960" s="624"/>
      <c r="N960" s="623"/>
      <c r="O960" s="623"/>
      <c r="P960" s="623"/>
      <c r="Q960" s="623"/>
    </row>
    <row r="961" spans="1:17">
      <c r="A961" s="621"/>
      <c r="C961" s="354"/>
      <c r="F961" s="622"/>
      <c r="G961" s="623"/>
      <c r="H961" s="623"/>
      <c r="I961" s="621"/>
      <c r="L961" s="623"/>
      <c r="M961" s="624"/>
      <c r="N961" s="623"/>
      <c r="O961" s="623"/>
      <c r="P961" s="623"/>
      <c r="Q961" s="623"/>
    </row>
    <row r="962" spans="1:17">
      <c r="A962" s="621"/>
      <c r="C962" s="354"/>
      <c r="F962" s="622"/>
      <c r="G962" s="623"/>
      <c r="H962" s="623"/>
      <c r="I962" s="621"/>
      <c r="L962" s="623"/>
      <c r="M962" s="624"/>
      <c r="N962" s="623"/>
      <c r="O962" s="623"/>
      <c r="P962" s="623"/>
      <c r="Q962" s="623"/>
    </row>
    <row r="963" spans="1:17">
      <c r="A963" s="621"/>
      <c r="C963" s="354"/>
      <c r="F963" s="622"/>
      <c r="G963" s="623"/>
      <c r="H963" s="623"/>
      <c r="I963" s="621"/>
      <c r="L963" s="623"/>
      <c r="M963" s="624"/>
      <c r="N963" s="623"/>
      <c r="O963" s="623"/>
      <c r="P963" s="623"/>
      <c r="Q963" s="623"/>
    </row>
    <row r="964" spans="1:17">
      <c r="A964" s="621"/>
      <c r="C964" s="354"/>
      <c r="F964" s="622"/>
      <c r="G964" s="623"/>
      <c r="H964" s="623"/>
      <c r="I964" s="621"/>
      <c r="L964" s="623"/>
      <c r="M964" s="624"/>
      <c r="N964" s="623"/>
      <c r="O964" s="623"/>
      <c r="P964" s="623"/>
      <c r="Q964" s="623"/>
    </row>
    <row r="965" spans="1:17">
      <c r="A965" s="621"/>
      <c r="C965" s="354"/>
      <c r="F965" s="622"/>
      <c r="G965" s="623"/>
      <c r="H965" s="623"/>
      <c r="I965" s="621"/>
      <c r="L965" s="623"/>
      <c r="M965" s="624"/>
      <c r="N965" s="623"/>
      <c r="O965" s="623"/>
      <c r="P965" s="623"/>
      <c r="Q965" s="623"/>
    </row>
    <row r="966" spans="1:17">
      <c r="A966" s="621"/>
      <c r="C966" s="354"/>
      <c r="F966" s="622"/>
      <c r="G966" s="623"/>
      <c r="H966" s="623"/>
      <c r="I966" s="621"/>
      <c r="L966" s="623"/>
      <c r="M966" s="624"/>
      <c r="N966" s="623"/>
      <c r="O966" s="623"/>
      <c r="P966" s="623"/>
      <c r="Q966" s="623"/>
    </row>
    <row r="967" spans="1:17">
      <c r="A967" s="621"/>
      <c r="C967" s="354"/>
      <c r="F967" s="622"/>
      <c r="G967" s="623"/>
      <c r="H967" s="623"/>
      <c r="I967" s="621"/>
      <c r="L967" s="623"/>
      <c r="M967" s="624"/>
      <c r="N967" s="623"/>
      <c r="O967" s="623"/>
      <c r="P967" s="623"/>
      <c r="Q967" s="623"/>
    </row>
    <row r="968" spans="1:17">
      <c r="A968" s="621"/>
      <c r="C968" s="354"/>
      <c r="F968" s="622"/>
      <c r="G968" s="623"/>
      <c r="H968" s="623"/>
      <c r="I968" s="621"/>
      <c r="L968" s="623"/>
      <c r="M968" s="624"/>
      <c r="N968" s="623"/>
      <c r="O968" s="623"/>
      <c r="P968" s="623"/>
      <c r="Q968" s="623"/>
    </row>
    <row r="969" spans="1:17">
      <c r="A969" s="621"/>
      <c r="C969" s="354"/>
      <c r="F969" s="622"/>
      <c r="G969" s="623"/>
      <c r="H969" s="623"/>
      <c r="I969" s="621"/>
      <c r="L969" s="623"/>
      <c r="M969" s="624"/>
      <c r="N969" s="623"/>
      <c r="O969" s="623"/>
      <c r="P969" s="623"/>
      <c r="Q969" s="623"/>
    </row>
    <row r="970" spans="1:17">
      <c r="A970" s="621"/>
      <c r="C970" s="354"/>
      <c r="F970" s="622"/>
      <c r="G970" s="623"/>
      <c r="H970" s="623"/>
      <c r="I970" s="621"/>
      <c r="L970" s="623"/>
      <c r="M970" s="624"/>
      <c r="N970" s="623"/>
      <c r="O970" s="623"/>
      <c r="P970" s="623"/>
      <c r="Q970" s="623"/>
    </row>
    <row r="971" spans="1:17">
      <c r="A971" s="621"/>
      <c r="C971" s="354"/>
      <c r="F971" s="622"/>
      <c r="G971" s="623"/>
      <c r="H971" s="623"/>
      <c r="I971" s="621"/>
      <c r="L971" s="623"/>
      <c r="M971" s="624"/>
      <c r="N971" s="623"/>
      <c r="O971" s="623"/>
      <c r="P971" s="623"/>
      <c r="Q971" s="623"/>
    </row>
    <row r="972" spans="1:17">
      <c r="A972" s="621"/>
      <c r="C972" s="354"/>
      <c r="F972" s="622"/>
      <c r="G972" s="623"/>
      <c r="H972" s="623"/>
      <c r="I972" s="621"/>
      <c r="L972" s="623"/>
      <c r="M972" s="624"/>
      <c r="N972" s="623"/>
      <c r="O972" s="623"/>
      <c r="P972" s="623"/>
      <c r="Q972" s="623"/>
    </row>
    <row r="973" spans="1:17">
      <c r="A973" s="621"/>
      <c r="C973" s="354"/>
      <c r="F973" s="622"/>
      <c r="G973" s="623"/>
      <c r="H973" s="623"/>
      <c r="I973" s="621"/>
      <c r="L973" s="623"/>
      <c r="M973" s="624"/>
      <c r="N973" s="623"/>
      <c r="O973" s="623"/>
      <c r="P973" s="623"/>
      <c r="Q973" s="623"/>
    </row>
    <row r="974" spans="1:17">
      <c r="A974" s="621"/>
      <c r="C974" s="354"/>
      <c r="F974" s="622"/>
      <c r="G974" s="623"/>
      <c r="H974" s="623"/>
      <c r="I974" s="621"/>
      <c r="L974" s="623"/>
      <c r="M974" s="624"/>
      <c r="N974" s="623"/>
      <c r="O974" s="623"/>
      <c r="P974" s="623"/>
      <c r="Q974" s="623"/>
    </row>
    <row r="975" spans="1:17">
      <c r="A975" s="621"/>
      <c r="C975" s="354"/>
      <c r="F975" s="622"/>
      <c r="G975" s="623"/>
      <c r="H975" s="623"/>
      <c r="I975" s="621"/>
      <c r="L975" s="623"/>
      <c r="M975" s="624"/>
      <c r="N975" s="623"/>
      <c r="O975" s="623"/>
      <c r="P975" s="623"/>
      <c r="Q975" s="623"/>
    </row>
    <row r="976" spans="1:17">
      <c r="A976" s="621"/>
      <c r="C976" s="354"/>
      <c r="F976" s="622"/>
      <c r="G976" s="623"/>
      <c r="H976" s="623"/>
      <c r="I976" s="621"/>
      <c r="L976" s="623"/>
      <c r="M976" s="624"/>
      <c r="N976" s="623"/>
      <c r="O976" s="623"/>
      <c r="P976" s="623"/>
      <c r="Q976" s="623"/>
    </row>
    <row r="977" spans="1:17">
      <c r="A977" s="621"/>
      <c r="C977" s="354"/>
      <c r="F977" s="622"/>
      <c r="G977" s="623"/>
      <c r="H977" s="623"/>
      <c r="I977" s="621"/>
      <c r="L977" s="623"/>
      <c r="M977" s="624"/>
      <c r="N977" s="623"/>
      <c r="O977" s="623"/>
      <c r="P977" s="623"/>
      <c r="Q977" s="623"/>
    </row>
    <row r="978" spans="1:17">
      <c r="A978" s="621"/>
      <c r="C978" s="354"/>
      <c r="F978" s="622"/>
      <c r="G978" s="623"/>
      <c r="H978" s="623"/>
      <c r="I978" s="621"/>
      <c r="L978" s="623"/>
      <c r="M978" s="624"/>
      <c r="N978" s="623"/>
      <c r="O978" s="623"/>
      <c r="P978" s="623"/>
      <c r="Q978" s="623"/>
    </row>
    <row r="979" spans="1:17">
      <c r="A979" s="621"/>
      <c r="C979" s="354"/>
      <c r="F979" s="622"/>
      <c r="G979" s="623"/>
      <c r="H979" s="623"/>
      <c r="I979" s="621"/>
      <c r="L979" s="623"/>
      <c r="M979" s="624"/>
      <c r="N979" s="623"/>
      <c r="O979" s="623"/>
      <c r="P979" s="623"/>
      <c r="Q979" s="623"/>
    </row>
    <row r="980" spans="1:17">
      <c r="A980" s="621"/>
      <c r="C980" s="354"/>
      <c r="F980" s="622"/>
      <c r="G980" s="623"/>
      <c r="H980" s="623"/>
      <c r="I980" s="621"/>
      <c r="L980" s="623"/>
      <c r="M980" s="624"/>
      <c r="N980" s="623"/>
      <c r="O980" s="623"/>
      <c r="P980" s="623"/>
      <c r="Q980" s="623"/>
    </row>
    <row r="981" spans="1:17">
      <c r="A981" s="621"/>
      <c r="C981" s="354"/>
      <c r="F981" s="622"/>
      <c r="G981" s="623"/>
      <c r="H981" s="623"/>
      <c r="I981" s="621"/>
      <c r="L981" s="623"/>
      <c r="M981" s="624"/>
      <c r="N981" s="623"/>
      <c r="O981" s="623"/>
      <c r="P981" s="623"/>
      <c r="Q981" s="623"/>
    </row>
    <row r="982" spans="1:17">
      <c r="A982" s="621"/>
      <c r="C982" s="354"/>
      <c r="F982" s="622"/>
      <c r="G982" s="623"/>
      <c r="H982" s="623"/>
      <c r="I982" s="621"/>
      <c r="L982" s="623"/>
      <c r="M982" s="624"/>
      <c r="N982" s="623"/>
      <c r="O982" s="623"/>
      <c r="P982" s="623"/>
      <c r="Q982" s="623"/>
    </row>
    <row r="983" spans="1:17">
      <c r="A983" s="621"/>
      <c r="C983" s="354"/>
      <c r="F983" s="622"/>
      <c r="G983" s="623"/>
      <c r="H983" s="623"/>
      <c r="I983" s="621"/>
      <c r="L983" s="623"/>
      <c r="M983" s="624"/>
      <c r="N983" s="623"/>
      <c r="O983" s="623"/>
      <c r="P983" s="623"/>
      <c r="Q983" s="623"/>
    </row>
    <row r="984" spans="1:17">
      <c r="A984" s="621"/>
      <c r="C984" s="354"/>
      <c r="F984" s="622"/>
      <c r="G984" s="623"/>
      <c r="H984" s="623"/>
      <c r="I984" s="621"/>
      <c r="L984" s="623"/>
      <c r="M984" s="624"/>
      <c r="N984" s="623"/>
      <c r="O984" s="623"/>
      <c r="P984" s="623"/>
      <c r="Q984" s="623"/>
    </row>
    <row r="985" spans="1:17">
      <c r="A985" s="621"/>
      <c r="C985" s="354"/>
      <c r="F985" s="622"/>
      <c r="G985" s="623"/>
      <c r="H985" s="623"/>
      <c r="I985" s="621"/>
      <c r="L985" s="623"/>
      <c r="M985" s="624"/>
      <c r="N985" s="623"/>
      <c r="O985" s="623"/>
      <c r="P985" s="623"/>
      <c r="Q985" s="623"/>
    </row>
    <row r="986" spans="1:17">
      <c r="A986" s="621"/>
      <c r="C986" s="354"/>
      <c r="F986" s="622"/>
      <c r="G986" s="623"/>
      <c r="H986" s="623"/>
      <c r="I986" s="621"/>
      <c r="L986" s="623"/>
      <c r="M986" s="624"/>
      <c r="N986" s="623"/>
      <c r="O986" s="623"/>
      <c r="P986" s="623"/>
      <c r="Q986" s="623"/>
    </row>
    <row r="987" spans="1:17">
      <c r="A987" s="621"/>
      <c r="C987" s="354"/>
      <c r="F987" s="622"/>
      <c r="G987" s="623"/>
      <c r="H987" s="623"/>
      <c r="I987" s="621"/>
      <c r="L987" s="623"/>
      <c r="M987" s="624"/>
      <c r="N987" s="623"/>
      <c r="O987" s="623"/>
      <c r="P987" s="623"/>
      <c r="Q987" s="623"/>
    </row>
    <row r="988" spans="1:17">
      <c r="A988" s="621"/>
      <c r="C988" s="354"/>
      <c r="F988" s="622"/>
      <c r="G988" s="623"/>
      <c r="H988" s="623"/>
      <c r="I988" s="621"/>
      <c r="L988" s="623"/>
      <c r="M988" s="624"/>
      <c r="N988" s="623"/>
      <c r="O988" s="623"/>
      <c r="P988" s="623"/>
      <c r="Q988" s="623"/>
    </row>
    <row r="989" spans="1:17">
      <c r="A989" s="621"/>
      <c r="C989" s="354"/>
      <c r="F989" s="622"/>
      <c r="G989" s="623"/>
      <c r="H989" s="623"/>
      <c r="I989" s="621"/>
      <c r="L989" s="623"/>
      <c r="M989" s="624"/>
      <c r="N989" s="623"/>
      <c r="O989" s="623"/>
      <c r="P989" s="623"/>
      <c r="Q989" s="623"/>
    </row>
    <row r="990" spans="1:17">
      <c r="A990" s="621"/>
      <c r="C990" s="354"/>
      <c r="F990" s="622"/>
      <c r="G990" s="623"/>
      <c r="H990" s="623"/>
      <c r="I990" s="621"/>
      <c r="L990" s="623"/>
      <c r="M990" s="624"/>
      <c r="N990" s="623"/>
      <c r="O990" s="623"/>
      <c r="P990" s="623"/>
      <c r="Q990" s="623"/>
    </row>
    <row r="991" spans="1:17">
      <c r="A991" s="621"/>
      <c r="C991" s="354"/>
      <c r="F991" s="622"/>
      <c r="G991" s="623"/>
      <c r="H991" s="623"/>
      <c r="I991" s="621"/>
      <c r="L991" s="623"/>
      <c r="M991" s="624"/>
      <c r="N991" s="623"/>
      <c r="O991" s="623"/>
      <c r="P991" s="623"/>
      <c r="Q991" s="623"/>
    </row>
    <row r="992" spans="1:17">
      <c r="A992" s="621"/>
      <c r="C992" s="354"/>
      <c r="F992" s="622"/>
      <c r="G992" s="623"/>
      <c r="H992" s="623"/>
      <c r="I992" s="621"/>
      <c r="L992" s="623"/>
      <c r="M992" s="624"/>
      <c r="N992" s="623"/>
      <c r="O992" s="623"/>
      <c r="P992" s="623"/>
      <c r="Q992" s="623"/>
    </row>
    <row r="993" spans="1:17">
      <c r="A993" s="621"/>
      <c r="C993" s="354"/>
      <c r="F993" s="622"/>
      <c r="G993" s="623"/>
      <c r="H993" s="623"/>
      <c r="I993" s="621"/>
      <c r="L993" s="623"/>
      <c r="M993" s="624"/>
      <c r="N993" s="623"/>
      <c r="O993" s="623"/>
      <c r="P993" s="623"/>
      <c r="Q993" s="623"/>
    </row>
    <row r="994" spans="1:17">
      <c r="A994" s="621"/>
      <c r="C994" s="354"/>
      <c r="F994" s="622"/>
      <c r="G994" s="623"/>
      <c r="H994" s="623"/>
      <c r="I994" s="621"/>
      <c r="L994" s="623"/>
      <c r="M994" s="624"/>
      <c r="N994" s="623"/>
      <c r="O994" s="623"/>
      <c r="P994" s="623"/>
      <c r="Q994" s="623"/>
    </row>
    <row r="995" spans="1:17">
      <c r="A995" s="621"/>
      <c r="C995" s="354"/>
      <c r="F995" s="622"/>
      <c r="G995" s="623"/>
      <c r="H995" s="623"/>
      <c r="I995" s="621"/>
      <c r="L995" s="623"/>
      <c r="M995" s="624"/>
      <c r="N995" s="623"/>
      <c r="O995" s="623"/>
      <c r="P995" s="623"/>
      <c r="Q995" s="623"/>
    </row>
    <row r="996" spans="1:17">
      <c r="A996" s="621"/>
      <c r="C996" s="354"/>
      <c r="F996" s="622"/>
      <c r="G996" s="623"/>
      <c r="H996" s="623"/>
      <c r="I996" s="621"/>
      <c r="L996" s="623"/>
      <c r="M996" s="624"/>
      <c r="N996" s="623"/>
      <c r="O996" s="623"/>
      <c r="P996" s="623"/>
      <c r="Q996" s="623"/>
    </row>
    <row r="997" spans="1:17">
      <c r="A997" s="621"/>
      <c r="C997" s="354"/>
      <c r="F997" s="622"/>
      <c r="G997" s="623"/>
      <c r="H997" s="623"/>
      <c r="I997" s="621"/>
      <c r="L997" s="623"/>
      <c r="M997" s="624"/>
      <c r="N997" s="623"/>
      <c r="O997" s="623"/>
      <c r="P997" s="623"/>
      <c r="Q997" s="623"/>
    </row>
    <row r="998" spans="1:17">
      <c r="A998" s="621"/>
      <c r="C998" s="354"/>
      <c r="F998" s="622"/>
      <c r="G998" s="623"/>
      <c r="H998" s="623"/>
      <c r="I998" s="621"/>
      <c r="L998" s="623"/>
      <c r="M998" s="624"/>
      <c r="N998" s="623"/>
      <c r="O998" s="623"/>
      <c r="P998" s="623"/>
      <c r="Q998" s="623"/>
    </row>
    <row r="999" spans="1:17">
      <c r="A999" s="621"/>
      <c r="C999" s="354"/>
      <c r="F999" s="622"/>
      <c r="G999" s="623"/>
      <c r="H999" s="623"/>
      <c r="I999" s="621"/>
      <c r="L999" s="623"/>
      <c r="M999" s="624"/>
      <c r="N999" s="623"/>
      <c r="O999" s="623"/>
      <c r="P999" s="623"/>
      <c r="Q999" s="623"/>
    </row>
    <row r="1000" spans="1:17">
      <c r="A1000" s="621"/>
      <c r="C1000" s="354"/>
      <c r="F1000" s="622"/>
      <c r="G1000" s="623"/>
      <c r="H1000" s="623"/>
      <c r="I1000" s="621"/>
      <c r="L1000" s="623"/>
      <c r="M1000" s="624"/>
      <c r="N1000" s="623"/>
      <c r="O1000" s="623"/>
      <c r="P1000" s="623"/>
      <c r="Q1000" s="623"/>
    </row>
    <row r="1001" spans="1:17">
      <c r="A1001" s="621"/>
      <c r="C1001" s="354"/>
      <c r="F1001" s="622"/>
      <c r="G1001" s="623"/>
      <c r="H1001" s="623"/>
      <c r="I1001" s="621"/>
      <c r="L1001" s="623"/>
      <c r="M1001" s="624"/>
      <c r="N1001" s="623"/>
      <c r="O1001" s="623"/>
      <c r="P1001" s="623"/>
      <c r="Q1001" s="623"/>
    </row>
    <row r="1002" spans="1:17">
      <c r="A1002" s="621"/>
      <c r="C1002" s="354"/>
      <c r="F1002" s="622"/>
      <c r="G1002" s="623"/>
      <c r="H1002" s="623"/>
      <c r="I1002" s="621"/>
      <c r="L1002" s="623"/>
      <c r="M1002" s="624"/>
      <c r="N1002" s="623"/>
      <c r="O1002" s="623"/>
      <c r="P1002" s="623"/>
      <c r="Q1002" s="623"/>
    </row>
    <row r="1003" spans="1:17">
      <c r="A1003" s="621"/>
      <c r="C1003" s="354"/>
      <c r="F1003" s="622"/>
      <c r="G1003" s="623"/>
      <c r="H1003" s="623"/>
      <c r="I1003" s="621"/>
      <c r="L1003" s="623"/>
      <c r="M1003" s="624"/>
      <c r="N1003" s="623"/>
      <c r="O1003" s="623"/>
      <c r="P1003" s="623"/>
      <c r="Q1003" s="623"/>
    </row>
    <row r="1004" spans="1:17">
      <c r="A1004" s="621"/>
      <c r="C1004" s="354"/>
      <c r="F1004" s="622"/>
      <c r="G1004" s="623"/>
      <c r="H1004" s="623"/>
      <c r="I1004" s="621"/>
      <c r="L1004" s="623"/>
      <c r="M1004" s="624"/>
      <c r="N1004" s="623"/>
      <c r="O1004" s="623"/>
      <c r="P1004" s="623"/>
      <c r="Q1004" s="623"/>
    </row>
    <row r="1005" spans="1:17">
      <c r="A1005" s="621"/>
      <c r="C1005" s="354"/>
      <c r="F1005" s="622"/>
      <c r="G1005" s="623"/>
      <c r="H1005" s="623"/>
      <c r="I1005" s="621"/>
      <c r="L1005" s="623"/>
      <c r="M1005" s="624"/>
      <c r="N1005" s="623"/>
      <c r="O1005" s="623"/>
      <c r="P1005" s="623"/>
      <c r="Q1005" s="623"/>
    </row>
    <row r="1006" spans="1:17">
      <c r="A1006" s="621"/>
      <c r="C1006" s="354"/>
      <c r="F1006" s="622"/>
      <c r="G1006" s="623"/>
      <c r="H1006" s="623"/>
      <c r="I1006" s="621"/>
      <c r="L1006" s="623"/>
      <c r="M1006" s="624"/>
      <c r="N1006" s="623"/>
      <c r="O1006" s="623"/>
      <c r="P1006" s="623"/>
      <c r="Q1006" s="623"/>
    </row>
    <row r="1007" spans="1:17">
      <c r="A1007" s="621"/>
      <c r="C1007" s="354"/>
      <c r="F1007" s="622"/>
      <c r="G1007" s="623"/>
      <c r="H1007" s="623"/>
      <c r="I1007" s="621"/>
      <c r="L1007" s="623"/>
      <c r="M1007" s="624"/>
      <c r="N1007" s="623"/>
      <c r="O1007" s="623"/>
      <c r="P1007" s="623"/>
      <c r="Q1007" s="623"/>
    </row>
    <row r="1008" spans="1:17">
      <c r="A1008" s="621"/>
      <c r="C1008" s="354"/>
      <c r="F1008" s="622"/>
      <c r="G1008" s="623"/>
      <c r="H1008" s="623"/>
      <c r="I1008" s="621"/>
      <c r="L1008" s="623"/>
      <c r="M1008" s="624"/>
      <c r="N1008" s="623"/>
      <c r="O1008" s="623"/>
      <c r="P1008" s="623"/>
      <c r="Q1008" s="623"/>
    </row>
    <row r="1009" spans="1:17">
      <c r="A1009" s="621"/>
      <c r="C1009" s="354"/>
      <c r="F1009" s="622"/>
      <c r="G1009" s="623"/>
      <c r="H1009" s="623"/>
      <c r="I1009" s="621"/>
      <c r="L1009" s="623"/>
      <c r="M1009" s="624"/>
      <c r="N1009" s="623"/>
      <c r="O1009" s="623"/>
      <c r="P1009" s="623"/>
      <c r="Q1009" s="623"/>
    </row>
    <row r="1010" spans="1:17">
      <c r="A1010" s="621"/>
      <c r="C1010" s="354"/>
      <c r="F1010" s="622"/>
      <c r="G1010" s="623"/>
      <c r="H1010" s="623"/>
      <c r="I1010" s="621"/>
      <c r="L1010" s="623"/>
      <c r="M1010" s="624"/>
      <c r="N1010" s="623"/>
      <c r="O1010" s="623"/>
      <c r="P1010" s="623"/>
      <c r="Q1010" s="623"/>
    </row>
    <row r="1011" spans="1:17">
      <c r="A1011" s="621"/>
      <c r="C1011" s="354"/>
      <c r="F1011" s="622"/>
      <c r="G1011" s="623"/>
      <c r="H1011" s="623"/>
      <c r="I1011" s="621"/>
      <c r="L1011" s="623"/>
      <c r="M1011" s="624"/>
      <c r="N1011" s="623"/>
      <c r="O1011" s="623"/>
      <c r="P1011" s="623"/>
      <c r="Q1011" s="623"/>
    </row>
    <row r="1012" spans="1:17">
      <c r="A1012" s="621"/>
      <c r="C1012" s="354"/>
      <c r="F1012" s="622"/>
      <c r="G1012" s="623"/>
      <c r="H1012" s="623"/>
      <c r="I1012" s="621"/>
      <c r="L1012" s="623"/>
      <c r="M1012" s="624"/>
      <c r="N1012" s="623"/>
      <c r="O1012" s="623"/>
      <c r="P1012" s="623"/>
      <c r="Q1012" s="623"/>
    </row>
    <row r="1013" spans="1:17">
      <c r="A1013" s="621"/>
      <c r="C1013" s="354"/>
      <c r="F1013" s="622"/>
      <c r="G1013" s="623"/>
      <c r="H1013" s="623"/>
      <c r="I1013" s="621"/>
      <c r="L1013" s="623"/>
      <c r="M1013" s="624"/>
      <c r="N1013" s="623"/>
      <c r="O1013" s="623"/>
      <c r="P1013" s="623"/>
      <c r="Q1013" s="623"/>
    </row>
    <row r="1014" spans="1:17">
      <c r="A1014" s="621"/>
      <c r="C1014" s="354"/>
      <c r="F1014" s="622"/>
      <c r="G1014" s="623"/>
      <c r="H1014" s="623"/>
      <c r="I1014" s="621"/>
      <c r="L1014" s="623"/>
      <c r="M1014" s="624"/>
      <c r="N1014" s="623"/>
      <c r="O1014" s="623"/>
      <c r="P1014" s="623"/>
      <c r="Q1014" s="623"/>
    </row>
    <row r="1015" spans="1:17">
      <c r="A1015" s="621"/>
      <c r="C1015" s="354"/>
      <c r="F1015" s="622"/>
      <c r="G1015" s="623"/>
      <c r="H1015" s="623"/>
      <c r="I1015" s="621"/>
      <c r="L1015" s="623"/>
      <c r="M1015" s="624"/>
      <c r="N1015" s="623"/>
      <c r="O1015" s="623"/>
      <c r="P1015" s="623"/>
      <c r="Q1015" s="623"/>
    </row>
    <row r="1016" spans="1:17">
      <c r="A1016" s="621"/>
      <c r="C1016" s="354"/>
      <c r="F1016" s="622"/>
      <c r="G1016" s="623"/>
      <c r="H1016" s="623"/>
      <c r="I1016" s="621"/>
      <c r="L1016" s="623"/>
      <c r="M1016" s="624"/>
      <c r="N1016" s="623"/>
      <c r="O1016" s="623"/>
      <c r="P1016" s="623"/>
      <c r="Q1016" s="623"/>
    </row>
    <row r="1017" spans="1:17">
      <c r="A1017" s="621"/>
      <c r="C1017" s="354"/>
      <c r="F1017" s="622"/>
      <c r="G1017" s="623"/>
      <c r="H1017" s="623"/>
      <c r="I1017" s="621"/>
      <c r="L1017" s="623"/>
      <c r="M1017" s="624"/>
      <c r="N1017" s="623"/>
      <c r="O1017" s="623"/>
      <c r="P1017" s="623"/>
      <c r="Q1017" s="623"/>
    </row>
    <row r="1018" spans="1:17">
      <c r="A1018" s="621"/>
      <c r="C1018" s="354"/>
      <c r="F1018" s="622"/>
      <c r="G1018" s="623"/>
      <c r="H1018" s="623"/>
      <c r="I1018" s="621"/>
      <c r="L1018" s="623"/>
      <c r="M1018" s="624"/>
      <c r="N1018" s="623"/>
      <c r="O1018" s="623"/>
      <c r="P1018" s="623"/>
      <c r="Q1018" s="623"/>
    </row>
    <row r="1019" spans="1:17">
      <c r="A1019" s="621"/>
      <c r="C1019" s="354"/>
      <c r="F1019" s="622"/>
      <c r="G1019" s="623"/>
      <c r="H1019" s="623"/>
      <c r="I1019" s="621"/>
      <c r="L1019" s="623"/>
      <c r="M1019" s="624"/>
      <c r="N1019" s="623"/>
      <c r="O1019" s="623"/>
      <c r="P1019" s="623"/>
      <c r="Q1019" s="623"/>
    </row>
    <row r="1020" spans="1:17">
      <c r="A1020" s="621"/>
      <c r="C1020" s="354"/>
      <c r="F1020" s="622"/>
      <c r="G1020" s="623"/>
      <c r="H1020" s="623"/>
      <c r="I1020" s="621"/>
      <c r="L1020" s="623"/>
      <c r="M1020" s="624"/>
      <c r="N1020" s="623"/>
      <c r="O1020" s="623"/>
      <c r="P1020" s="623"/>
      <c r="Q1020" s="623"/>
    </row>
    <row r="1021" spans="1:17">
      <c r="A1021" s="621"/>
      <c r="C1021" s="354"/>
      <c r="F1021" s="622"/>
      <c r="G1021" s="623"/>
      <c r="H1021" s="623"/>
      <c r="I1021" s="621"/>
      <c r="L1021" s="623"/>
      <c r="M1021" s="624"/>
      <c r="N1021" s="623"/>
      <c r="O1021" s="623"/>
      <c r="P1021" s="623"/>
      <c r="Q1021" s="623"/>
    </row>
    <row r="1022" spans="1:17">
      <c r="A1022" s="621"/>
      <c r="C1022" s="354"/>
      <c r="F1022" s="622"/>
      <c r="G1022" s="623"/>
      <c r="H1022" s="623"/>
      <c r="I1022" s="621"/>
      <c r="L1022" s="623"/>
      <c r="M1022" s="624"/>
      <c r="N1022" s="623"/>
      <c r="O1022" s="623"/>
      <c r="P1022" s="623"/>
      <c r="Q1022" s="623"/>
    </row>
    <row r="1023" spans="1:17">
      <c r="A1023" s="621"/>
      <c r="C1023" s="354"/>
      <c r="F1023" s="622"/>
      <c r="G1023" s="623"/>
      <c r="H1023" s="623"/>
      <c r="I1023" s="621"/>
      <c r="L1023" s="623"/>
      <c r="M1023" s="624"/>
      <c r="N1023" s="623"/>
      <c r="O1023" s="623"/>
      <c r="P1023" s="623"/>
      <c r="Q1023" s="623"/>
    </row>
    <row r="1024" spans="1:17">
      <c r="A1024" s="621"/>
      <c r="C1024" s="354"/>
      <c r="F1024" s="622"/>
      <c r="G1024" s="623"/>
      <c r="H1024" s="623"/>
      <c r="I1024" s="621"/>
      <c r="L1024" s="623"/>
      <c r="M1024" s="624"/>
      <c r="N1024" s="623"/>
      <c r="O1024" s="623"/>
      <c r="P1024" s="623"/>
      <c r="Q1024" s="623"/>
    </row>
    <row r="1025" spans="1:17">
      <c r="A1025" s="621"/>
      <c r="C1025" s="354"/>
      <c r="F1025" s="622"/>
      <c r="G1025" s="623"/>
      <c r="H1025" s="623"/>
      <c r="I1025" s="621"/>
      <c r="L1025" s="623"/>
      <c r="M1025" s="624"/>
      <c r="N1025" s="623"/>
      <c r="O1025" s="623"/>
      <c r="P1025" s="623"/>
      <c r="Q1025" s="623"/>
    </row>
    <row r="1026" spans="1:17">
      <c r="A1026" s="621"/>
      <c r="C1026" s="354"/>
      <c r="F1026" s="622"/>
      <c r="G1026" s="623"/>
      <c r="H1026" s="623"/>
      <c r="I1026" s="621"/>
      <c r="L1026" s="623"/>
      <c r="M1026" s="624"/>
      <c r="N1026" s="623"/>
      <c r="O1026" s="623"/>
      <c r="P1026" s="623"/>
      <c r="Q1026" s="623"/>
    </row>
    <row r="1027" spans="1:17">
      <c r="A1027" s="621"/>
      <c r="C1027" s="354"/>
      <c r="F1027" s="622"/>
      <c r="G1027" s="623"/>
      <c r="H1027" s="623"/>
      <c r="I1027" s="621"/>
      <c r="L1027" s="623"/>
      <c r="M1027" s="624"/>
      <c r="N1027" s="623"/>
      <c r="O1027" s="623"/>
      <c r="P1027" s="623"/>
      <c r="Q1027" s="623"/>
    </row>
    <row r="1028" spans="1:17">
      <c r="A1028" s="621"/>
      <c r="C1028" s="354"/>
      <c r="F1028" s="622"/>
      <c r="G1028" s="623"/>
      <c r="H1028" s="623"/>
      <c r="I1028" s="621"/>
      <c r="L1028" s="623"/>
      <c r="M1028" s="624"/>
      <c r="N1028" s="623"/>
      <c r="O1028" s="623"/>
      <c r="P1028" s="623"/>
      <c r="Q1028" s="623"/>
    </row>
    <row r="1029" spans="1:17">
      <c r="A1029" s="621"/>
      <c r="C1029" s="354"/>
      <c r="F1029" s="622"/>
      <c r="G1029" s="623"/>
      <c r="H1029" s="623"/>
      <c r="I1029" s="621"/>
      <c r="L1029" s="623"/>
      <c r="M1029" s="624"/>
      <c r="N1029" s="623"/>
      <c r="O1029" s="623"/>
      <c r="P1029" s="623"/>
      <c r="Q1029" s="623"/>
    </row>
    <row r="1030" spans="1:17">
      <c r="A1030" s="621"/>
      <c r="C1030" s="354"/>
      <c r="F1030" s="622"/>
      <c r="G1030" s="623"/>
      <c r="H1030" s="623"/>
      <c r="I1030" s="621"/>
      <c r="L1030" s="623"/>
      <c r="M1030" s="624"/>
      <c r="N1030" s="623"/>
      <c r="O1030" s="623"/>
      <c r="P1030" s="623"/>
      <c r="Q1030" s="623"/>
    </row>
    <row r="1031" spans="1:17">
      <c r="A1031" s="621"/>
      <c r="C1031" s="354"/>
      <c r="F1031" s="622"/>
      <c r="G1031" s="623"/>
      <c r="H1031" s="623"/>
      <c r="I1031" s="621"/>
      <c r="L1031" s="623"/>
      <c r="M1031" s="624"/>
      <c r="N1031" s="623"/>
      <c r="O1031" s="623"/>
      <c r="P1031" s="623"/>
      <c r="Q1031" s="623"/>
    </row>
    <row r="1032" spans="1:17">
      <c r="A1032" s="621"/>
      <c r="C1032" s="354"/>
      <c r="F1032" s="622"/>
      <c r="G1032" s="623"/>
      <c r="H1032" s="623"/>
      <c r="I1032" s="621"/>
      <c r="L1032" s="623"/>
      <c r="M1032" s="624"/>
      <c r="N1032" s="623"/>
      <c r="O1032" s="623"/>
      <c r="P1032" s="623"/>
      <c r="Q1032" s="623"/>
    </row>
    <row r="1033" spans="1:17">
      <c r="A1033" s="621"/>
      <c r="C1033" s="354"/>
      <c r="F1033" s="622"/>
      <c r="G1033" s="623"/>
      <c r="H1033" s="623"/>
      <c r="I1033" s="621"/>
      <c r="L1033" s="623"/>
      <c r="M1033" s="624"/>
      <c r="N1033" s="623"/>
      <c r="O1033" s="623"/>
      <c r="P1033" s="623"/>
      <c r="Q1033" s="623"/>
    </row>
    <row r="1034" spans="1:17">
      <c r="A1034" s="621"/>
      <c r="C1034" s="354"/>
      <c r="F1034" s="622"/>
      <c r="G1034" s="623"/>
      <c r="H1034" s="623"/>
      <c r="I1034" s="621"/>
      <c r="L1034" s="623"/>
      <c r="M1034" s="624"/>
      <c r="N1034" s="623"/>
      <c r="O1034" s="623"/>
      <c r="P1034" s="623"/>
      <c r="Q1034" s="623"/>
    </row>
    <row r="1035" spans="1:17">
      <c r="A1035" s="621"/>
      <c r="C1035" s="354"/>
      <c r="F1035" s="622"/>
      <c r="G1035" s="623"/>
      <c r="H1035" s="623"/>
      <c r="I1035" s="621"/>
      <c r="L1035" s="623"/>
      <c r="M1035" s="624"/>
      <c r="N1035" s="623"/>
      <c r="O1035" s="623"/>
      <c r="P1035" s="623"/>
      <c r="Q1035" s="623"/>
    </row>
    <row r="1036" spans="1:17">
      <c r="A1036" s="621"/>
      <c r="C1036" s="354"/>
      <c r="F1036" s="622"/>
      <c r="G1036" s="623"/>
      <c r="H1036" s="623"/>
      <c r="I1036" s="621"/>
      <c r="L1036" s="623"/>
      <c r="M1036" s="624"/>
      <c r="N1036" s="623"/>
      <c r="O1036" s="623"/>
      <c r="P1036" s="623"/>
      <c r="Q1036" s="623"/>
    </row>
    <row r="1037" spans="1:17">
      <c r="A1037" s="621"/>
      <c r="C1037" s="354"/>
      <c r="F1037" s="622"/>
      <c r="G1037" s="623"/>
      <c r="H1037" s="623"/>
      <c r="I1037" s="621"/>
      <c r="L1037" s="623"/>
      <c r="M1037" s="624"/>
      <c r="N1037" s="623"/>
      <c r="O1037" s="623"/>
      <c r="P1037" s="623"/>
      <c r="Q1037" s="623"/>
    </row>
    <row r="1038" spans="1:17">
      <c r="A1038" s="621"/>
      <c r="C1038" s="354"/>
      <c r="F1038" s="622"/>
      <c r="G1038" s="623"/>
      <c r="H1038" s="623"/>
      <c r="I1038" s="621"/>
      <c r="L1038" s="623"/>
      <c r="M1038" s="624"/>
      <c r="N1038" s="623"/>
      <c r="O1038" s="623"/>
      <c r="P1038" s="623"/>
      <c r="Q1038" s="623"/>
    </row>
    <row r="1039" spans="1:17">
      <c r="A1039" s="621"/>
      <c r="C1039" s="354"/>
      <c r="F1039" s="622"/>
      <c r="G1039" s="623"/>
      <c r="H1039" s="623"/>
      <c r="I1039" s="621"/>
      <c r="L1039" s="623"/>
      <c r="M1039" s="624"/>
      <c r="N1039" s="623"/>
      <c r="O1039" s="623"/>
      <c r="P1039" s="623"/>
      <c r="Q1039" s="623"/>
    </row>
    <row r="1040" spans="1:17">
      <c r="A1040" s="621"/>
      <c r="C1040" s="354"/>
      <c r="F1040" s="622"/>
      <c r="G1040" s="623"/>
      <c r="H1040" s="623"/>
      <c r="I1040" s="621"/>
      <c r="L1040" s="623"/>
      <c r="M1040" s="624"/>
      <c r="N1040" s="623"/>
      <c r="O1040" s="623"/>
      <c r="P1040" s="623"/>
      <c r="Q1040" s="623"/>
    </row>
    <row r="1041" spans="1:17">
      <c r="A1041" s="621"/>
      <c r="C1041" s="354"/>
      <c r="F1041" s="622"/>
      <c r="G1041" s="623"/>
      <c r="H1041" s="623"/>
      <c r="I1041" s="621"/>
      <c r="L1041" s="623"/>
      <c r="M1041" s="624"/>
      <c r="N1041" s="623"/>
      <c r="O1041" s="623"/>
      <c r="P1041" s="623"/>
      <c r="Q1041" s="623"/>
    </row>
    <row r="1042" spans="1:17">
      <c r="A1042" s="621"/>
      <c r="C1042" s="354"/>
      <c r="F1042" s="622"/>
      <c r="G1042" s="623"/>
      <c r="H1042" s="623"/>
      <c r="I1042" s="621"/>
      <c r="L1042" s="623"/>
      <c r="M1042" s="624"/>
      <c r="N1042" s="623"/>
      <c r="O1042" s="623"/>
      <c r="P1042" s="623"/>
      <c r="Q1042" s="623"/>
    </row>
    <row r="1043" spans="1:17">
      <c r="A1043" s="621"/>
      <c r="C1043" s="354"/>
      <c r="F1043" s="622"/>
      <c r="G1043" s="623"/>
      <c r="H1043" s="623"/>
      <c r="I1043" s="621"/>
      <c r="L1043" s="623"/>
      <c r="M1043" s="624"/>
      <c r="N1043" s="623"/>
      <c r="O1043" s="623"/>
      <c r="P1043" s="623"/>
      <c r="Q1043" s="623"/>
    </row>
    <row r="1044" spans="1:17">
      <c r="A1044" s="621"/>
      <c r="C1044" s="354"/>
      <c r="F1044" s="622"/>
      <c r="G1044" s="623"/>
      <c r="H1044" s="623"/>
      <c r="I1044" s="621"/>
      <c r="L1044" s="623"/>
      <c r="M1044" s="624"/>
      <c r="N1044" s="623"/>
      <c r="O1044" s="623"/>
      <c r="P1044" s="623"/>
      <c r="Q1044" s="623"/>
    </row>
    <row r="1045" spans="1:17">
      <c r="A1045" s="621"/>
      <c r="C1045" s="354"/>
      <c r="F1045" s="622"/>
      <c r="G1045" s="623"/>
      <c r="H1045" s="623"/>
      <c r="I1045" s="621"/>
      <c r="L1045" s="623"/>
      <c r="M1045" s="624"/>
      <c r="N1045" s="623"/>
      <c r="O1045" s="623"/>
      <c r="P1045" s="623"/>
      <c r="Q1045" s="623"/>
    </row>
    <row r="1046" spans="1:17">
      <c r="A1046" s="621"/>
      <c r="C1046" s="354"/>
      <c r="F1046" s="622"/>
      <c r="G1046" s="623"/>
      <c r="H1046" s="623"/>
      <c r="I1046" s="621"/>
      <c r="L1046" s="623"/>
      <c r="M1046" s="624"/>
      <c r="N1046" s="623"/>
      <c r="O1046" s="623"/>
      <c r="P1046" s="623"/>
      <c r="Q1046" s="623"/>
    </row>
    <row r="1047" spans="1:17">
      <c r="A1047" s="621"/>
      <c r="C1047" s="354"/>
      <c r="F1047" s="622"/>
      <c r="G1047" s="623"/>
      <c r="H1047" s="623"/>
      <c r="I1047" s="621"/>
      <c r="L1047" s="623"/>
      <c r="M1047" s="624"/>
      <c r="N1047" s="623"/>
      <c r="O1047" s="623"/>
      <c r="P1047" s="623"/>
      <c r="Q1047" s="623"/>
    </row>
    <row r="1048" spans="1:17">
      <c r="A1048" s="621"/>
      <c r="C1048" s="354"/>
      <c r="F1048" s="622"/>
      <c r="G1048" s="623"/>
      <c r="H1048" s="623"/>
      <c r="I1048" s="621"/>
      <c r="L1048" s="623"/>
      <c r="M1048" s="624"/>
      <c r="N1048" s="623"/>
      <c r="O1048" s="623"/>
      <c r="P1048" s="623"/>
      <c r="Q1048" s="623"/>
    </row>
    <row r="1049" spans="1:17">
      <c r="A1049" s="621"/>
      <c r="C1049" s="354"/>
      <c r="F1049" s="622"/>
      <c r="G1049" s="623"/>
      <c r="H1049" s="623"/>
      <c r="I1049" s="621"/>
      <c r="L1049" s="623"/>
      <c r="M1049" s="624"/>
      <c r="N1049" s="623"/>
      <c r="O1049" s="623"/>
      <c r="P1049" s="623"/>
      <c r="Q1049" s="623"/>
    </row>
    <row r="1050" spans="1:17">
      <c r="A1050" s="621"/>
      <c r="C1050" s="354"/>
      <c r="F1050" s="622"/>
      <c r="G1050" s="623"/>
      <c r="H1050" s="623"/>
      <c r="I1050" s="621"/>
      <c r="L1050" s="623"/>
      <c r="M1050" s="624"/>
      <c r="N1050" s="623"/>
      <c r="O1050" s="623"/>
      <c r="P1050" s="623"/>
      <c r="Q1050" s="623"/>
    </row>
    <row r="1051" spans="1:17">
      <c r="A1051" s="621"/>
      <c r="C1051" s="354"/>
      <c r="F1051" s="622"/>
      <c r="G1051" s="623"/>
      <c r="H1051" s="623"/>
      <c r="I1051" s="621"/>
      <c r="L1051" s="623"/>
      <c r="M1051" s="624"/>
      <c r="N1051" s="623"/>
      <c r="O1051" s="623"/>
      <c r="P1051" s="623"/>
      <c r="Q1051" s="623"/>
    </row>
    <row r="1052" spans="1:17">
      <c r="A1052" s="621"/>
      <c r="C1052" s="354"/>
      <c r="F1052" s="622"/>
      <c r="G1052" s="623"/>
      <c r="H1052" s="623"/>
      <c r="I1052" s="621"/>
      <c r="L1052" s="623"/>
      <c r="M1052" s="624"/>
      <c r="N1052" s="623"/>
      <c r="O1052" s="623"/>
      <c r="P1052" s="623"/>
      <c r="Q1052" s="623"/>
    </row>
    <row r="1053" spans="1:17">
      <c r="A1053" s="621"/>
      <c r="C1053" s="354"/>
      <c r="F1053" s="622"/>
      <c r="G1053" s="623"/>
      <c r="H1053" s="623"/>
      <c r="I1053" s="621"/>
      <c r="L1053" s="623"/>
      <c r="M1053" s="624"/>
      <c r="N1053" s="623"/>
      <c r="O1053" s="623"/>
      <c r="P1053" s="623"/>
      <c r="Q1053" s="623"/>
    </row>
    <row r="1054" spans="1:17">
      <c r="A1054" s="621"/>
      <c r="C1054" s="354"/>
      <c r="F1054" s="622"/>
      <c r="G1054" s="623"/>
      <c r="H1054" s="623"/>
      <c r="I1054" s="621"/>
      <c r="L1054" s="623"/>
      <c r="M1054" s="624"/>
      <c r="N1054" s="623"/>
      <c r="O1054" s="623"/>
      <c r="P1054" s="623"/>
      <c r="Q1054" s="623"/>
    </row>
    <row r="1055" spans="1:17">
      <c r="A1055" s="621"/>
      <c r="C1055" s="354"/>
      <c r="F1055" s="622"/>
      <c r="G1055" s="623"/>
      <c r="H1055" s="623"/>
      <c r="I1055" s="621"/>
      <c r="L1055" s="623"/>
      <c r="M1055" s="624"/>
      <c r="N1055" s="623"/>
      <c r="O1055" s="623"/>
      <c r="P1055" s="623"/>
      <c r="Q1055" s="623"/>
    </row>
    <row r="1056" spans="1:17">
      <c r="A1056" s="621"/>
      <c r="C1056" s="354"/>
      <c r="F1056" s="622"/>
      <c r="G1056" s="623"/>
      <c r="H1056" s="623"/>
      <c r="I1056" s="621"/>
      <c r="L1056" s="623"/>
      <c r="M1056" s="624"/>
      <c r="N1056" s="623"/>
      <c r="O1056" s="623"/>
      <c r="P1056" s="623"/>
      <c r="Q1056" s="623"/>
    </row>
    <row r="1057" spans="1:17">
      <c r="A1057" s="621"/>
      <c r="C1057" s="354"/>
      <c r="F1057" s="622"/>
      <c r="G1057" s="623"/>
      <c r="H1057" s="623"/>
      <c r="I1057" s="621"/>
      <c r="L1057" s="623"/>
      <c r="M1057" s="624"/>
      <c r="N1057" s="623"/>
      <c r="O1057" s="623"/>
      <c r="P1057" s="623"/>
      <c r="Q1057" s="623"/>
    </row>
    <row r="1058" spans="1:17">
      <c r="A1058" s="621"/>
      <c r="C1058" s="354"/>
      <c r="F1058" s="622"/>
      <c r="G1058" s="623"/>
      <c r="H1058" s="623"/>
      <c r="I1058" s="621"/>
      <c r="L1058" s="623"/>
      <c r="M1058" s="624"/>
      <c r="N1058" s="623"/>
      <c r="O1058" s="623"/>
      <c r="P1058" s="623"/>
      <c r="Q1058" s="623"/>
    </row>
    <row r="1059" spans="1:17">
      <c r="A1059" s="621"/>
      <c r="C1059" s="354"/>
      <c r="F1059" s="622"/>
      <c r="G1059" s="623"/>
      <c r="H1059" s="623"/>
      <c r="I1059" s="621"/>
      <c r="L1059" s="623"/>
      <c r="M1059" s="624"/>
      <c r="N1059" s="623"/>
      <c r="O1059" s="623"/>
      <c r="P1059" s="623"/>
      <c r="Q1059" s="623"/>
    </row>
    <row r="1060" spans="1:17">
      <c r="A1060" s="621"/>
      <c r="C1060" s="354"/>
      <c r="F1060" s="622"/>
      <c r="G1060" s="623"/>
      <c r="H1060" s="623"/>
      <c r="I1060" s="621"/>
      <c r="L1060" s="623"/>
      <c r="M1060" s="624"/>
      <c r="N1060" s="623"/>
      <c r="O1060" s="623"/>
      <c r="P1060" s="623"/>
      <c r="Q1060" s="623"/>
    </row>
    <row r="1061" spans="1:17">
      <c r="A1061" s="621"/>
      <c r="C1061" s="354"/>
      <c r="F1061" s="622"/>
      <c r="G1061" s="623"/>
      <c r="H1061" s="623"/>
      <c r="I1061" s="621"/>
      <c r="L1061" s="623"/>
      <c r="M1061" s="624"/>
      <c r="N1061" s="623"/>
      <c r="O1061" s="623"/>
      <c r="P1061" s="623"/>
      <c r="Q1061" s="623"/>
    </row>
    <row r="1062" spans="1:17">
      <c r="A1062" s="621"/>
      <c r="C1062" s="354"/>
      <c r="F1062" s="622"/>
      <c r="G1062" s="623"/>
      <c r="H1062" s="623"/>
      <c r="I1062" s="621"/>
      <c r="L1062" s="623"/>
      <c r="M1062" s="624"/>
      <c r="N1062" s="623"/>
      <c r="O1062" s="623"/>
      <c r="P1062" s="623"/>
      <c r="Q1062" s="623"/>
    </row>
    <row r="1063" spans="1:17">
      <c r="A1063" s="621"/>
      <c r="C1063" s="354"/>
      <c r="F1063" s="622"/>
      <c r="G1063" s="623"/>
      <c r="H1063" s="623"/>
      <c r="I1063" s="621"/>
      <c r="L1063" s="623"/>
      <c r="M1063" s="624"/>
      <c r="N1063" s="623"/>
      <c r="O1063" s="623"/>
      <c r="P1063" s="623"/>
      <c r="Q1063" s="623"/>
    </row>
    <row r="1064" spans="1:17">
      <c r="A1064" s="621"/>
      <c r="C1064" s="354"/>
      <c r="F1064" s="622"/>
      <c r="G1064" s="623"/>
      <c r="H1064" s="623"/>
      <c r="I1064" s="621"/>
      <c r="L1064" s="623"/>
      <c r="M1064" s="624"/>
      <c r="N1064" s="623"/>
      <c r="O1064" s="623"/>
      <c r="P1064" s="623"/>
      <c r="Q1064" s="623"/>
    </row>
    <row r="1065" spans="1:17">
      <c r="A1065" s="621"/>
      <c r="C1065" s="354"/>
      <c r="F1065" s="622"/>
      <c r="G1065" s="623"/>
      <c r="H1065" s="623"/>
      <c r="I1065" s="621"/>
      <c r="L1065" s="623"/>
      <c r="M1065" s="624"/>
      <c r="N1065" s="623"/>
      <c r="O1065" s="623"/>
      <c r="P1065" s="623"/>
      <c r="Q1065" s="623"/>
    </row>
    <row r="1066" spans="1:17">
      <c r="A1066" s="621"/>
      <c r="C1066" s="354"/>
      <c r="F1066" s="622"/>
      <c r="G1066" s="623"/>
      <c r="H1066" s="623"/>
      <c r="I1066" s="621"/>
      <c r="L1066" s="623"/>
      <c r="M1066" s="624"/>
      <c r="N1066" s="623"/>
      <c r="O1066" s="623"/>
      <c r="P1066" s="623"/>
      <c r="Q1066" s="623"/>
    </row>
    <row r="1067" spans="1:17">
      <c r="A1067" s="621"/>
      <c r="C1067" s="354"/>
      <c r="F1067" s="622"/>
      <c r="G1067" s="623"/>
      <c r="H1067" s="623"/>
      <c r="I1067" s="621"/>
      <c r="L1067" s="623"/>
      <c r="M1067" s="624"/>
      <c r="N1067" s="623"/>
      <c r="O1067" s="623"/>
      <c r="P1067" s="623"/>
      <c r="Q1067" s="623"/>
    </row>
    <row r="1068" spans="1:17">
      <c r="A1068" s="621"/>
      <c r="C1068" s="354"/>
      <c r="F1068" s="622"/>
      <c r="G1068" s="623"/>
      <c r="H1068" s="623"/>
      <c r="I1068" s="621"/>
      <c r="L1068" s="623"/>
      <c r="M1068" s="624"/>
      <c r="N1068" s="623"/>
      <c r="O1068" s="623"/>
      <c r="P1068" s="623"/>
      <c r="Q1068" s="623"/>
    </row>
    <row r="1069" spans="1:17">
      <c r="A1069" s="621"/>
      <c r="C1069" s="354"/>
      <c r="F1069" s="622"/>
      <c r="G1069" s="623"/>
      <c r="H1069" s="623"/>
      <c r="I1069" s="621"/>
      <c r="L1069" s="623"/>
      <c r="M1069" s="624"/>
      <c r="N1069" s="623"/>
      <c r="O1069" s="623"/>
      <c r="P1069" s="623"/>
      <c r="Q1069" s="623"/>
    </row>
    <row r="1070" spans="1:17">
      <c r="A1070" s="621"/>
      <c r="C1070" s="354"/>
      <c r="F1070" s="622"/>
      <c r="G1070" s="623"/>
      <c r="H1070" s="623"/>
      <c r="I1070" s="621"/>
      <c r="L1070" s="623"/>
      <c r="M1070" s="624"/>
      <c r="N1070" s="623"/>
      <c r="O1070" s="623"/>
      <c r="P1070" s="623"/>
      <c r="Q1070" s="623"/>
    </row>
    <row r="1071" spans="1:17">
      <c r="A1071" s="621"/>
      <c r="C1071" s="354"/>
      <c r="F1071" s="622"/>
      <c r="G1071" s="623"/>
      <c r="H1071" s="623"/>
      <c r="I1071" s="621"/>
      <c r="L1071" s="623"/>
      <c r="M1071" s="624"/>
      <c r="N1071" s="623"/>
      <c r="O1071" s="623"/>
      <c r="P1071" s="623"/>
      <c r="Q1071" s="623"/>
    </row>
    <row r="1072" spans="1:17">
      <c r="A1072" s="621"/>
      <c r="C1072" s="354"/>
      <c r="F1072" s="622"/>
      <c r="G1072" s="623"/>
      <c r="H1072" s="623"/>
      <c r="I1072" s="621"/>
      <c r="L1072" s="623"/>
      <c r="M1072" s="624"/>
      <c r="N1072" s="623"/>
      <c r="O1072" s="623"/>
      <c r="P1072" s="623"/>
      <c r="Q1072" s="623"/>
    </row>
    <row r="1073" spans="1:17">
      <c r="A1073" s="621"/>
      <c r="C1073" s="354"/>
      <c r="F1073" s="622"/>
      <c r="G1073" s="623"/>
      <c r="H1073" s="623"/>
      <c r="I1073" s="621"/>
      <c r="L1073" s="623"/>
      <c r="M1073" s="624"/>
      <c r="N1073" s="623"/>
      <c r="O1073" s="623"/>
      <c r="P1073" s="623"/>
      <c r="Q1073" s="623"/>
    </row>
    <row r="1074" spans="1:17">
      <c r="A1074" s="621"/>
      <c r="C1074" s="354"/>
      <c r="F1074" s="622"/>
      <c r="G1074" s="623"/>
      <c r="H1074" s="623"/>
      <c r="I1074" s="621"/>
      <c r="L1074" s="623"/>
      <c r="M1074" s="624"/>
      <c r="N1074" s="623"/>
      <c r="O1074" s="623"/>
      <c r="P1074" s="623"/>
      <c r="Q1074" s="623"/>
    </row>
    <row r="1075" spans="1:17">
      <c r="A1075" s="621"/>
      <c r="C1075" s="354"/>
      <c r="F1075" s="622"/>
      <c r="G1075" s="623"/>
      <c r="H1075" s="623"/>
      <c r="I1075" s="621"/>
      <c r="L1075" s="623"/>
      <c r="M1075" s="624"/>
      <c r="N1075" s="623"/>
      <c r="O1075" s="623"/>
      <c r="P1075" s="623"/>
      <c r="Q1075" s="623"/>
    </row>
    <row r="1076" spans="1:17">
      <c r="A1076" s="621"/>
      <c r="C1076" s="354"/>
      <c r="F1076" s="622"/>
      <c r="G1076" s="623"/>
      <c r="H1076" s="623"/>
      <c r="I1076" s="621"/>
      <c r="L1076" s="623"/>
      <c r="M1076" s="624"/>
      <c r="N1076" s="623"/>
      <c r="O1076" s="623"/>
      <c r="P1076" s="623"/>
      <c r="Q1076" s="623"/>
    </row>
    <row r="1077" spans="1:17">
      <c r="A1077" s="621"/>
      <c r="C1077" s="354"/>
      <c r="F1077" s="622"/>
      <c r="G1077" s="623"/>
      <c r="H1077" s="623"/>
      <c r="I1077" s="621"/>
      <c r="L1077" s="623"/>
      <c r="M1077" s="624"/>
      <c r="N1077" s="623"/>
      <c r="O1077" s="623"/>
      <c r="P1077" s="623"/>
      <c r="Q1077" s="623"/>
    </row>
    <row r="1078" spans="1:17">
      <c r="A1078" s="621"/>
      <c r="C1078" s="354"/>
      <c r="F1078" s="622"/>
      <c r="G1078" s="623"/>
      <c r="H1078" s="623"/>
      <c r="I1078" s="621"/>
      <c r="L1078" s="623"/>
      <c r="M1078" s="624"/>
      <c r="N1078" s="623"/>
      <c r="O1078" s="623"/>
      <c r="P1078" s="623"/>
      <c r="Q1078" s="623"/>
    </row>
    <row r="1079" spans="1:17">
      <c r="A1079" s="621"/>
      <c r="C1079" s="354"/>
      <c r="F1079" s="622"/>
      <c r="G1079" s="623"/>
      <c r="H1079" s="623"/>
      <c r="I1079" s="621"/>
      <c r="L1079" s="623"/>
      <c r="M1079" s="624"/>
      <c r="N1079" s="623"/>
      <c r="O1079" s="623"/>
      <c r="P1079" s="623"/>
      <c r="Q1079" s="623"/>
    </row>
    <row r="1080" spans="1:17">
      <c r="A1080" s="621"/>
      <c r="C1080" s="354"/>
      <c r="F1080" s="622"/>
      <c r="G1080" s="623"/>
      <c r="H1080" s="623"/>
      <c r="I1080" s="621"/>
      <c r="L1080" s="623"/>
      <c r="M1080" s="624"/>
      <c r="N1080" s="623"/>
      <c r="O1080" s="623"/>
      <c r="P1080" s="623"/>
      <c r="Q1080" s="623"/>
    </row>
    <row r="1081" spans="1:17">
      <c r="A1081" s="621"/>
      <c r="C1081" s="354"/>
      <c r="F1081" s="622"/>
      <c r="G1081" s="623"/>
      <c r="H1081" s="623"/>
      <c r="I1081" s="621"/>
      <c r="L1081" s="623"/>
      <c r="M1081" s="624"/>
      <c r="N1081" s="623"/>
      <c r="O1081" s="623"/>
      <c r="P1081" s="623"/>
      <c r="Q1081" s="623"/>
    </row>
    <row r="1082" spans="1:17">
      <c r="A1082" s="621"/>
      <c r="C1082" s="354"/>
      <c r="F1082" s="622"/>
      <c r="G1082" s="623"/>
      <c r="H1082" s="623"/>
      <c r="I1082" s="621"/>
      <c r="L1082" s="623"/>
      <c r="M1082" s="624"/>
      <c r="N1082" s="623"/>
      <c r="O1082" s="623"/>
      <c r="P1082" s="623"/>
      <c r="Q1082" s="623"/>
    </row>
    <row r="1083" spans="1:17">
      <c r="A1083" s="621"/>
      <c r="C1083" s="354"/>
      <c r="F1083" s="622"/>
      <c r="G1083" s="623"/>
      <c r="H1083" s="623"/>
      <c r="I1083" s="621"/>
      <c r="L1083" s="623"/>
      <c r="M1083" s="624"/>
      <c r="N1083" s="623"/>
      <c r="O1083" s="623"/>
      <c r="P1083" s="623"/>
      <c r="Q1083" s="623"/>
    </row>
    <row r="1084" spans="1:17">
      <c r="A1084" s="621"/>
      <c r="C1084" s="354"/>
      <c r="F1084" s="622"/>
      <c r="G1084" s="623"/>
      <c r="H1084" s="623"/>
      <c r="I1084" s="621"/>
      <c r="L1084" s="623"/>
      <c r="M1084" s="624"/>
      <c r="N1084" s="623"/>
      <c r="O1084" s="623"/>
      <c r="P1084" s="623"/>
      <c r="Q1084" s="623"/>
    </row>
    <row r="1085" spans="1:17">
      <c r="A1085" s="621"/>
      <c r="C1085" s="354"/>
      <c r="F1085" s="622"/>
      <c r="G1085" s="623"/>
      <c r="H1085" s="623"/>
      <c r="I1085" s="621"/>
      <c r="L1085" s="623"/>
      <c r="M1085" s="624"/>
      <c r="N1085" s="623"/>
      <c r="O1085" s="623"/>
      <c r="P1085" s="623"/>
      <c r="Q1085" s="623"/>
    </row>
    <row r="1086" spans="1:17">
      <c r="A1086" s="621"/>
      <c r="C1086" s="354"/>
      <c r="F1086" s="622"/>
      <c r="G1086" s="623"/>
      <c r="H1086" s="623"/>
      <c r="I1086" s="621"/>
      <c r="L1086" s="623"/>
      <c r="M1086" s="624"/>
      <c r="N1086" s="623"/>
      <c r="O1086" s="623"/>
      <c r="P1086" s="623"/>
      <c r="Q1086" s="623"/>
    </row>
    <row r="1087" spans="1:17">
      <c r="A1087" s="621"/>
      <c r="C1087" s="354"/>
      <c r="F1087" s="622"/>
      <c r="G1087" s="623"/>
      <c r="H1087" s="623"/>
      <c r="I1087" s="621"/>
      <c r="L1087" s="623"/>
      <c r="M1087" s="624"/>
      <c r="N1087" s="623"/>
      <c r="O1087" s="623"/>
      <c r="P1087" s="623"/>
      <c r="Q1087" s="623"/>
    </row>
    <row r="1088" spans="1:17">
      <c r="A1088" s="621"/>
      <c r="C1088" s="354"/>
      <c r="F1088" s="622"/>
      <c r="G1088" s="623"/>
      <c r="H1088" s="623"/>
      <c r="I1088" s="621"/>
      <c r="L1088" s="623"/>
      <c r="M1088" s="624"/>
      <c r="N1088" s="623"/>
      <c r="O1088" s="623"/>
      <c r="P1088" s="623"/>
      <c r="Q1088" s="623"/>
    </row>
    <row r="1089" spans="1:17">
      <c r="A1089" s="621"/>
      <c r="C1089" s="354"/>
      <c r="F1089" s="622"/>
      <c r="G1089" s="623"/>
      <c r="H1089" s="623"/>
      <c r="I1089" s="621"/>
      <c r="L1089" s="623"/>
      <c r="M1089" s="624"/>
      <c r="N1089" s="623"/>
      <c r="O1089" s="623"/>
      <c r="P1089" s="623"/>
      <c r="Q1089" s="623"/>
    </row>
    <row r="1090" spans="1:17">
      <c r="A1090" s="621"/>
      <c r="C1090" s="354"/>
      <c r="F1090" s="622"/>
      <c r="G1090" s="623"/>
      <c r="H1090" s="623"/>
      <c r="I1090" s="621"/>
      <c r="L1090" s="623"/>
      <c r="M1090" s="624"/>
      <c r="N1090" s="623"/>
      <c r="O1090" s="623"/>
      <c r="P1090" s="623"/>
      <c r="Q1090" s="623"/>
    </row>
    <row r="1091" spans="1:17">
      <c r="A1091" s="621"/>
      <c r="C1091" s="354"/>
      <c r="F1091" s="622"/>
      <c r="G1091" s="623"/>
      <c r="H1091" s="623"/>
      <c r="I1091" s="621"/>
      <c r="L1091" s="623"/>
      <c r="M1091" s="624"/>
      <c r="N1091" s="623"/>
      <c r="O1091" s="623"/>
      <c r="P1091" s="623"/>
      <c r="Q1091" s="623"/>
    </row>
    <row r="1092" spans="1:17">
      <c r="A1092" s="621"/>
      <c r="C1092" s="354"/>
      <c r="F1092" s="622"/>
      <c r="G1092" s="623"/>
      <c r="H1092" s="623"/>
      <c r="I1092" s="621"/>
      <c r="L1092" s="623"/>
      <c r="M1092" s="624"/>
      <c r="N1092" s="623"/>
      <c r="O1092" s="623"/>
      <c r="P1092" s="623"/>
      <c r="Q1092" s="623"/>
    </row>
    <row r="1093" spans="1:17">
      <c r="A1093" s="621"/>
      <c r="C1093" s="354"/>
      <c r="F1093" s="622"/>
      <c r="G1093" s="623"/>
      <c r="H1093" s="623"/>
      <c r="I1093" s="621"/>
      <c r="L1093" s="623"/>
      <c r="M1093" s="624"/>
      <c r="N1093" s="623"/>
      <c r="O1093" s="623"/>
      <c r="P1093" s="623"/>
      <c r="Q1093" s="623"/>
    </row>
    <row r="1094" spans="1:17">
      <c r="A1094" s="621"/>
      <c r="C1094" s="354"/>
      <c r="F1094" s="622"/>
      <c r="G1094" s="623"/>
      <c r="H1094" s="623"/>
      <c r="I1094" s="621"/>
      <c r="L1094" s="623"/>
      <c r="M1094" s="624"/>
      <c r="N1094" s="623"/>
      <c r="O1094" s="623"/>
      <c r="P1094" s="623"/>
      <c r="Q1094" s="623"/>
    </row>
    <row r="1095" spans="1:17">
      <c r="A1095" s="621"/>
      <c r="C1095" s="354"/>
      <c r="F1095" s="622"/>
      <c r="G1095" s="623"/>
      <c r="H1095" s="623"/>
      <c r="I1095" s="621"/>
      <c r="L1095" s="623"/>
      <c r="M1095" s="624"/>
      <c r="N1095" s="623"/>
      <c r="O1095" s="623"/>
      <c r="P1095" s="623"/>
      <c r="Q1095" s="623"/>
    </row>
    <row r="1096" spans="1:17">
      <c r="A1096" s="621"/>
      <c r="C1096" s="354"/>
      <c r="F1096" s="622"/>
      <c r="G1096" s="623"/>
      <c r="H1096" s="623"/>
      <c r="I1096" s="621"/>
      <c r="L1096" s="623"/>
      <c r="M1096" s="624"/>
      <c r="N1096" s="623"/>
      <c r="O1096" s="623"/>
      <c r="P1096" s="623"/>
      <c r="Q1096" s="623"/>
    </row>
    <row r="1097" spans="1:17">
      <c r="A1097" s="621"/>
      <c r="C1097" s="354"/>
      <c r="F1097" s="622"/>
      <c r="G1097" s="623"/>
      <c r="H1097" s="623"/>
      <c r="I1097" s="621"/>
      <c r="L1097" s="623"/>
      <c r="M1097" s="624"/>
      <c r="N1097" s="623"/>
      <c r="O1097" s="623"/>
      <c r="P1097" s="623"/>
      <c r="Q1097" s="623"/>
    </row>
    <row r="1098" spans="1:17">
      <c r="A1098" s="621"/>
      <c r="C1098" s="354"/>
      <c r="F1098" s="622"/>
      <c r="G1098" s="623"/>
      <c r="H1098" s="623"/>
      <c r="I1098" s="621"/>
      <c r="L1098" s="623"/>
      <c r="M1098" s="624"/>
      <c r="N1098" s="623"/>
      <c r="O1098" s="623"/>
      <c r="P1098" s="623"/>
      <c r="Q1098" s="623"/>
    </row>
    <row r="1099" spans="1:17">
      <c r="A1099" s="621"/>
      <c r="C1099" s="354"/>
      <c r="F1099" s="622"/>
      <c r="G1099" s="623"/>
      <c r="H1099" s="623"/>
      <c r="I1099" s="621"/>
      <c r="L1099" s="623"/>
      <c r="M1099" s="624"/>
      <c r="N1099" s="623"/>
      <c r="O1099" s="623"/>
      <c r="P1099" s="623"/>
      <c r="Q1099" s="623"/>
    </row>
    <row r="1100" spans="1:17">
      <c r="A1100" s="621"/>
      <c r="C1100" s="354"/>
      <c r="F1100" s="622"/>
      <c r="G1100" s="623"/>
      <c r="H1100" s="623"/>
      <c r="I1100" s="621"/>
      <c r="L1100" s="623"/>
      <c r="M1100" s="624"/>
      <c r="N1100" s="623"/>
      <c r="O1100" s="623"/>
      <c r="P1100" s="623"/>
      <c r="Q1100" s="623"/>
    </row>
    <row r="1101" spans="1:17">
      <c r="A1101" s="621"/>
      <c r="C1101" s="354"/>
      <c r="F1101" s="622"/>
      <c r="G1101" s="623"/>
      <c r="H1101" s="623"/>
      <c r="I1101" s="621"/>
      <c r="L1101" s="623"/>
      <c r="M1101" s="624"/>
      <c r="N1101" s="623"/>
      <c r="O1101" s="623"/>
      <c r="P1101" s="623"/>
      <c r="Q1101" s="623"/>
    </row>
    <row r="1102" spans="1:17">
      <c r="A1102" s="621"/>
      <c r="C1102" s="354"/>
      <c r="F1102" s="622"/>
      <c r="G1102" s="623"/>
      <c r="H1102" s="623"/>
      <c r="I1102" s="621"/>
      <c r="L1102" s="623"/>
      <c r="M1102" s="624"/>
      <c r="N1102" s="623"/>
      <c r="O1102" s="623"/>
      <c r="P1102" s="623"/>
      <c r="Q1102" s="623"/>
    </row>
    <row r="1103" spans="1:17">
      <c r="A1103" s="621"/>
      <c r="C1103" s="354"/>
      <c r="F1103" s="622"/>
      <c r="G1103" s="623"/>
      <c r="H1103" s="623"/>
      <c r="I1103" s="621"/>
      <c r="L1103" s="623"/>
      <c r="M1103" s="624"/>
      <c r="N1103" s="623"/>
      <c r="O1103" s="623"/>
      <c r="P1103" s="623"/>
      <c r="Q1103" s="623"/>
    </row>
    <row r="1104" spans="1:17">
      <c r="A1104" s="621"/>
      <c r="C1104" s="354"/>
      <c r="F1104" s="622"/>
      <c r="G1104" s="623"/>
      <c r="H1104" s="623"/>
      <c r="I1104" s="621"/>
      <c r="L1104" s="623"/>
      <c r="M1104" s="624"/>
      <c r="N1104" s="623"/>
      <c r="O1104" s="623"/>
      <c r="P1104" s="623"/>
      <c r="Q1104" s="623"/>
    </row>
    <row r="1105" spans="1:17">
      <c r="A1105" s="621"/>
      <c r="C1105" s="354"/>
      <c r="F1105" s="622"/>
      <c r="G1105" s="623"/>
      <c r="H1105" s="623"/>
      <c r="I1105" s="621"/>
      <c r="L1105" s="623"/>
      <c r="M1105" s="624"/>
      <c r="N1105" s="623"/>
      <c r="O1105" s="623"/>
      <c r="P1105" s="623"/>
      <c r="Q1105" s="623"/>
    </row>
    <row r="1106" spans="1:17">
      <c r="A1106" s="621"/>
      <c r="C1106" s="354"/>
      <c r="F1106" s="622"/>
      <c r="G1106" s="623"/>
      <c r="H1106" s="623"/>
      <c r="I1106" s="621"/>
      <c r="L1106" s="623"/>
      <c r="M1106" s="624"/>
      <c r="N1106" s="623"/>
      <c r="O1106" s="623"/>
      <c r="P1106" s="623"/>
      <c r="Q1106" s="623"/>
    </row>
    <row r="1107" spans="1:17">
      <c r="A1107" s="621"/>
      <c r="C1107" s="354"/>
      <c r="F1107" s="622"/>
      <c r="G1107" s="623"/>
      <c r="H1107" s="623"/>
      <c r="I1107" s="621"/>
      <c r="L1107" s="623"/>
      <c r="M1107" s="624"/>
      <c r="N1107" s="623"/>
      <c r="O1107" s="623"/>
      <c r="P1107" s="623"/>
      <c r="Q1107" s="623"/>
    </row>
    <row r="1108" spans="1:17">
      <c r="A1108" s="621"/>
      <c r="C1108" s="354"/>
      <c r="F1108" s="622"/>
      <c r="G1108" s="623"/>
      <c r="H1108" s="623"/>
      <c r="I1108" s="621"/>
      <c r="L1108" s="623"/>
      <c r="M1108" s="624"/>
      <c r="N1108" s="623"/>
      <c r="O1108" s="623"/>
      <c r="P1108" s="623"/>
      <c r="Q1108" s="623"/>
    </row>
    <row r="1109" spans="1:17">
      <c r="A1109" s="621"/>
      <c r="C1109" s="354"/>
      <c r="F1109" s="622"/>
      <c r="G1109" s="623"/>
      <c r="H1109" s="623"/>
      <c r="I1109" s="621"/>
      <c r="L1109" s="623"/>
      <c r="M1109" s="624"/>
      <c r="N1109" s="623"/>
      <c r="O1109" s="623"/>
      <c r="P1109" s="623"/>
      <c r="Q1109" s="623"/>
    </row>
    <row r="1110" spans="1:17">
      <c r="A1110" s="621"/>
      <c r="C1110" s="354"/>
      <c r="F1110" s="622"/>
      <c r="G1110" s="623"/>
      <c r="H1110" s="623"/>
      <c r="I1110" s="621"/>
      <c r="L1110" s="623"/>
      <c r="M1110" s="624"/>
      <c r="N1110" s="623"/>
      <c r="O1110" s="623"/>
      <c r="P1110" s="623"/>
      <c r="Q1110" s="623"/>
    </row>
    <row r="1111" spans="1:17">
      <c r="A1111" s="621"/>
      <c r="C1111" s="354"/>
      <c r="F1111" s="622"/>
      <c r="G1111" s="623"/>
      <c r="H1111" s="623"/>
      <c r="I1111" s="621"/>
      <c r="L1111" s="623"/>
      <c r="M1111" s="624"/>
      <c r="N1111" s="623"/>
      <c r="O1111" s="623"/>
      <c r="P1111" s="623"/>
      <c r="Q1111" s="623"/>
    </row>
    <row r="1112" spans="1:17">
      <c r="A1112" s="621"/>
      <c r="C1112" s="354"/>
      <c r="F1112" s="622"/>
      <c r="G1112" s="623"/>
      <c r="H1112" s="623"/>
      <c r="I1112" s="621"/>
      <c r="L1112" s="623"/>
      <c r="M1112" s="624"/>
      <c r="N1112" s="623"/>
      <c r="O1112" s="623"/>
      <c r="P1112" s="623"/>
      <c r="Q1112" s="623"/>
    </row>
    <row r="1113" spans="1:17">
      <c r="A1113" s="621"/>
      <c r="C1113" s="354"/>
      <c r="F1113" s="622"/>
      <c r="G1113" s="623"/>
      <c r="H1113" s="623"/>
      <c r="I1113" s="621"/>
      <c r="L1113" s="623"/>
      <c r="M1113" s="624"/>
      <c r="N1113" s="623"/>
      <c r="O1113" s="623"/>
      <c r="P1113" s="623"/>
      <c r="Q1113" s="623"/>
    </row>
    <row r="1114" spans="1:17">
      <c r="A1114" s="621"/>
      <c r="C1114" s="354"/>
      <c r="F1114" s="622"/>
      <c r="G1114" s="623"/>
      <c r="H1114" s="623"/>
      <c r="I1114" s="621"/>
      <c r="L1114" s="623"/>
      <c r="M1114" s="624"/>
      <c r="N1114" s="623"/>
      <c r="O1114" s="623"/>
      <c r="P1114" s="623"/>
      <c r="Q1114" s="623"/>
    </row>
    <row r="1115" spans="1:17">
      <c r="A1115" s="621"/>
      <c r="C1115" s="354"/>
      <c r="F1115" s="622"/>
      <c r="G1115" s="623"/>
      <c r="H1115" s="623"/>
      <c r="I1115" s="621"/>
      <c r="L1115" s="623"/>
      <c r="M1115" s="624"/>
      <c r="N1115" s="623"/>
      <c r="O1115" s="623"/>
      <c r="P1115" s="623"/>
      <c r="Q1115" s="623"/>
    </row>
    <row r="1116" spans="1:17">
      <c r="A1116" s="621"/>
      <c r="C1116" s="354"/>
      <c r="F1116" s="622"/>
      <c r="G1116" s="623"/>
      <c r="H1116" s="623"/>
      <c r="I1116" s="621"/>
      <c r="L1116" s="623"/>
      <c r="M1116" s="624"/>
      <c r="N1116" s="623"/>
      <c r="O1116" s="623"/>
      <c r="P1116" s="623"/>
      <c r="Q1116" s="623"/>
    </row>
    <row r="1117" spans="1:17">
      <c r="A1117" s="621"/>
      <c r="C1117" s="354"/>
      <c r="F1117" s="622"/>
      <c r="G1117" s="623"/>
      <c r="H1117" s="623"/>
      <c r="I1117" s="621"/>
      <c r="L1117" s="623"/>
      <c r="M1117" s="624"/>
      <c r="N1117" s="623"/>
      <c r="O1117" s="623"/>
      <c r="P1117" s="623"/>
      <c r="Q1117" s="623"/>
    </row>
    <row r="1118" spans="1:17">
      <c r="A1118" s="621"/>
      <c r="C1118" s="354"/>
      <c r="F1118" s="622"/>
      <c r="G1118" s="623"/>
      <c r="H1118" s="623"/>
      <c r="I1118" s="621"/>
      <c r="L1118" s="623"/>
      <c r="M1118" s="624"/>
      <c r="N1118" s="623"/>
      <c r="O1118" s="623"/>
      <c r="P1118" s="623"/>
      <c r="Q1118" s="623"/>
    </row>
    <row r="1119" spans="1:17">
      <c r="A1119" s="621"/>
      <c r="C1119" s="354"/>
      <c r="F1119" s="622"/>
      <c r="G1119" s="623"/>
      <c r="H1119" s="623"/>
      <c r="I1119" s="621"/>
      <c r="L1119" s="623"/>
      <c r="M1119" s="624"/>
      <c r="N1119" s="623"/>
      <c r="O1119" s="623"/>
      <c r="P1119" s="623"/>
      <c r="Q1119" s="623"/>
    </row>
    <row r="1120" spans="1:17">
      <c r="A1120" s="621"/>
      <c r="C1120" s="354"/>
      <c r="F1120" s="622"/>
      <c r="G1120" s="623"/>
      <c r="H1120" s="623"/>
      <c r="I1120" s="621"/>
      <c r="L1120" s="623"/>
      <c r="M1120" s="624"/>
      <c r="N1120" s="623"/>
      <c r="O1120" s="623"/>
      <c r="P1120" s="623"/>
      <c r="Q1120" s="623"/>
    </row>
    <row r="1121" spans="1:17">
      <c r="A1121" s="621"/>
      <c r="C1121" s="354"/>
      <c r="F1121" s="622"/>
      <c r="G1121" s="623"/>
      <c r="H1121" s="623"/>
      <c r="I1121" s="621"/>
      <c r="L1121" s="623"/>
      <c r="M1121" s="624"/>
      <c r="N1121" s="623"/>
      <c r="O1121" s="623"/>
      <c r="P1121" s="623"/>
      <c r="Q1121" s="623"/>
    </row>
    <row r="1122" spans="1:17">
      <c r="A1122" s="621"/>
      <c r="C1122" s="354"/>
      <c r="F1122" s="622"/>
      <c r="G1122" s="623"/>
      <c r="H1122" s="623"/>
      <c r="I1122" s="621"/>
      <c r="L1122" s="623"/>
      <c r="M1122" s="624"/>
      <c r="N1122" s="623"/>
      <c r="O1122" s="623"/>
      <c r="P1122" s="623"/>
      <c r="Q1122" s="623"/>
    </row>
    <row r="1123" spans="1:17">
      <c r="A1123" s="621"/>
      <c r="C1123" s="354"/>
      <c r="F1123" s="622"/>
      <c r="G1123" s="623"/>
      <c r="H1123" s="623"/>
      <c r="I1123" s="621"/>
      <c r="L1123" s="623"/>
      <c r="M1123" s="624"/>
      <c r="N1123" s="623"/>
      <c r="O1123" s="623"/>
      <c r="P1123" s="623"/>
      <c r="Q1123" s="623"/>
    </row>
    <row r="1124" spans="1:17">
      <c r="A1124" s="621"/>
      <c r="C1124" s="354"/>
      <c r="F1124" s="622"/>
      <c r="G1124" s="623"/>
      <c r="H1124" s="623"/>
      <c r="I1124" s="621"/>
      <c r="L1124" s="623"/>
      <c r="M1124" s="624"/>
      <c r="N1124" s="623"/>
      <c r="O1124" s="623"/>
      <c r="P1124" s="623"/>
      <c r="Q1124" s="623"/>
    </row>
    <row r="1125" spans="1:17">
      <c r="A1125" s="621"/>
      <c r="C1125" s="354"/>
      <c r="F1125" s="622"/>
      <c r="G1125" s="623"/>
      <c r="H1125" s="623"/>
      <c r="I1125" s="621"/>
      <c r="L1125" s="623"/>
      <c r="M1125" s="624"/>
      <c r="N1125" s="623"/>
      <c r="O1125" s="623"/>
      <c r="P1125" s="623"/>
      <c r="Q1125" s="623"/>
    </row>
    <row r="1126" spans="1:17">
      <c r="A1126" s="621"/>
      <c r="C1126" s="354"/>
      <c r="F1126" s="622"/>
      <c r="G1126" s="623"/>
      <c r="H1126" s="623"/>
      <c r="I1126" s="621"/>
      <c r="L1126" s="623"/>
      <c r="M1126" s="624"/>
      <c r="N1126" s="623"/>
      <c r="O1126" s="623"/>
      <c r="P1126" s="623"/>
      <c r="Q1126" s="623"/>
    </row>
    <row r="1127" spans="1:17">
      <c r="A1127" s="621"/>
      <c r="C1127" s="354"/>
      <c r="F1127" s="622"/>
      <c r="G1127" s="623"/>
      <c r="H1127" s="623"/>
      <c r="I1127" s="621"/>
      <c r="L1127" s="623"/>
      <c r="M1127" s="624"/>
      <c r="N1127" s="623"/>
      <c r="O1127" s="623"/>
      <c r="P1127" s="623"/>
      <c r="Q1127" s="623"/>
    </row>
    <row r="1128" spans="1:17">
      <c r="A1128" s="621"/>
      <c r="C1128" s="354"/>
      <c r="F1128" s="622"/>
      <c r="G1128" s="623"/>
      <c r="H1128" s="623"/>
      <c r="I1128" s="621"/>
      <c r="L1128" s="623"/>
      <c r="M1128" s="624"/>
      <c r="N1128" s="623"/>
      <c r="O1128" s="623"/>
      <c r="P1128" s="623"/>
      <c r="Q1128" s="623"/>
    </row>
    <row r="1129" spans="1:17">
      <c r="A1129" s="621"/>
      <c r="C1129" s="354"/>
      <c r="F1129" s="622"/>
      <c r="G1129" s="623"/>
      <c r="H1129" s="623"/>
      <c r="I1129" s="621"/>
      <c r="L1129" s="623"/>
      <c r="M1129" s="624"/>
      <c r="N1129" s="623"/>
      <c r="O1129" s="623"/>
      <c r="P1129" s="623"/>
      <c r="Q1129" s="623"/>
    </row>
    <row r="1130" spans="1:17">
      <c r="A1130" s="621"/>
      <c r="C1130" s="354"/>
      <c r="F1130" s="622"/>
      <c r="G1130" s="623"/>
      <c r="H1130" s="623"/>
      <c r="I1130" s="621"/>
      <c r="L1130" s="623"/>
      <c r="M1130" s="624"/>
      <c r="N1130" s="623"/>
      <c r="O1130" s="623"/>
      <c r="P1130" s="623"/>
      <c r="Q1130" s="623"/>
    </row>
    <row r="1131" spans="1:17">
      <c r="A1131" s="621"/>
      <c r="C1131" s="354"/>
      <c r="F1131" s="622"/>
      <c r="G1131" s="623"/>
      <c r="H1131" s="623"/>
      <c r="I1131" s="621"/>
      <c r="L1131" s="623"/>
      <c r="M1131" s="624"/>
      <c r="N1131" s="623"/>
      <c r="O1131" s="623"/>
      <c r="P1131" s="623"/>
      <c r="Q1131" s="623"/>
    </row>
    <row r="1132" spans="1:17">
      <c r="A1132" s="621"/>
      <c r="C1132" s="354"/>
      <c r="F1132" s="622"/>
      <c r="G1132" s="623"/>
      <c r="H1132" s="623"/>
      <c r="I1132" s="621"/>
      <c r="L1132" s="623"/>
      <c r="M1132" s="624"/>
      <c r="N1132" s="623"/>
      <c r="O1132" s="623"/>
      <c r="P1132" s="623"/>
      <c r="Q1132" s="623"/>
    </row>
    <row r="1133" spans="1:17">
      <c r="A1133" s="621"/>
      <c r="C1133" s="354"/>
      <c r="F1133" s="622"/>
      <c r="G1133" s="623"/>
      <c r="H1133" s="623"/>
      <c r="I1133" s="621"/>
      <c r="L1133" s="623"/>
      <c r="M1133" s="624"/>
      <c r="N1133" s="623"/>
      <c r="O1133" s="623"/>
      <c r="P1133" s="623"/>
      <c r="Q1133" s="623"/>
    </row>
    <row r="1134" spans="1:17">
      <c r="A1134" s="621"/>
      <c r="C1134" s="354"/>
      <c r="F1134" s="622"/>
      <c r="G1134" s="623"/>
      <c r="H1134" s="623"/>
      <c r="I1134" s="621"/>
      <c r="L1134" s="623"/>
      <c r="M1134" s="624"/>
      <c r="N1134" s="623"/>
      <c r="O1134" s="623"/>
      <c r="P1134" s="623"/>
      <c r="Q1134" s="623"/>
    </row>
    <row r="1135" spans="1:17">
      <c r="A1135" s="621"/>
      <c r="C1135" s="354"/>
      <c r="F1135" s="622"/>
      <c r="G1135" s="623"/>
      <c r="H1135" s="623"/>
      <c r="I1135" s="621"/>
      <c r="L1135" s="623"/>
      <c r="M1135" s="624"/>
      <c r="N1135" s="623"/>
      <c r="O1135" s="623"/>
      <c r="P1135" s="623"/>
      <c r="Q1135" s="623"/>
    </row>
    <row r="1136" spans="1:17">
      <c r="A1136" s="621"/>
      <c r="C1136" s="354"/>
      <c r="F1136" s="622"/>
      <c r="G1136" s="623"/>
      <c r="H1136" s="623"/>
      <c r="I1136" s="621"/>
      <c r="L1136" s="623"/>
      <c r="M1136" s="624"/>
      <c r="N1136" s="623"/>
      <c r="O1136" s="623"/>
      <c r="P1136" s="623"/>
      <c r="Q1136" s="623"/>
    </row>
    <row r="1137" spans="1:17">
      <c r="A1137" s="621"/>
      <c r="C1137" s="354"/>
      <c r="F1137" s="622"/>
      <c r="G1137" s="623"/>
      <c r="H1137" s="623"/>
      <c r="I1137" s="621"/>
      <c r="L1137" s="623"/>
      <c r="M1137" s="624"/>
      <c r="N1137" s="623"/>
      <c r="O1137" s="623"/>
      <c r="P1137" s="623"/>
      <c r="Q1137" s="623"/>
    </row>
    <row r="1138" spans="1:17">
      <c r="A1138" s="621"/>
      <c r="C1138" s="354"/>
      <c r="F1138" s="622"/>
      <c r="G1138" s="623"/>
      <c r="H1138" s="623"/>
      <c r="I1138" s="621"/>
      <c r="L1138" s="623"/>
      <c r="M1138" s="624"/>
      <c r="N1138" s="623"/>
      <c r="O1138" s="623"/>
      <c r="P1138" s="623"/>
      <c r="Q1138" s="623"/>
    </row>
    <row r="1139" spans="1:17">
      <c r="A1139" s="621"/>
      <c r="C1139" s="354"/>
      <c r="F1139" s="622"/>
      <c r="G1139" s="623"/>
      <c r="H1139" s="623"/>
      <c r="I1139" s="621"/>
      <c r="L1139" s="623"/>
      <c r="M1139" s="624"/>
      <c r="N1139" s="623"/>
      <c r="O1139" s="623"/>
      <c r="P1139" s="623"/>
      <c r="Q1139" s="623"/>
    </row>
    <row r="1140" spans="1:17">
      <c r="A1140" s="621"/>
      <c r="C1140" s="354"/>
      <c r="F1140" s="622"/>
      <c r="G1140" s="623"/>
      <c r="H1140" s="623"/>
      <c r="I1140" s="621"/>
      <c r="L1140" s="623"/>
      <c r="M1140" s="624"/>
      <c r="N1140" s="623"/>
      <c r="O1140" s="623"/>
      <c r="P1140" s="623"/>
      <c r="Q1140" s="623"/>
    </row>
    <row r="1141" spans="1:17">
      <c r="A1141" s="621"/>
      <c r="C1141" s="354"/>
      <c r="F1141" s="622"/>
      <c r="G1141" s="623"/>
      <c r="H1141" s="623"/>
      <c r="I1141" s="621"/>
      <c r="L1141" s="623"/>
      <c r="M1141" s="624"/>
      <c r="N1141" s="623"/>
      <c r="O1141" s="623"/>
      <c r="P1141" s="623"/>
      <c r="Q1141" s="623"/>
    </row>
    <row r="1142" spans="1:17">
      <c r="A1142" s="621"/>
      <c r="C1142" s="354"/>
      <c r="F1142" s="622"/>
      <c r="G1142" s="623"/>
      <c r="H1142" s="623"/>
      <c r="I1142" s="621"/>
      <c r="L1142" s="623"/>
      <c r="M1142" s="624"/>
      <c r="N1142" s="623"/>
      <c r="O1142" s="623"/>
      <c r="P1142" s="623"/>
      <c r="Q1142" s="623"/>
    </row>
    <row r="1143" spans="1:17">
      <c r="A1143" s="621"/>
      <c r="C1143" s="354"/>
      <c r="F1143" s="622"/>
      <c r="G1143" s="623"/>
      <c r="H1143" s="623"/>
      <c r="I1143" s="621"/>
      <c r="L1143" s="623"/>
      <c r="M1143" s="624"/>
      <c r="N1143" s="623"/>
      <c r="O1143" s="623"/>
      <c r="P1143" s="623"/>
      <c r="Q1143" s="623"/>
    </row>
    <row r="1144" spans="1:17">
      <c r="A1144" s="621"/>
      <c r="C1144" s="354"/>
      <c r="F1144" s="622"/>
      <c r="G1144" s="623"/>
      <c r="H1144" s="623"/>
      <c r="I1144" s="621"/>
      <c r="L1144" s="623"/>
      <c r="M1144" s="624"/>
      <c r="N1144" s="623"/>
      <c r="O1144" s="623"/>
      <c r="P1144" s="623"/>
      <c r="Q1144" s="623"/>
    </row>
    <row r="1145" spans="1:17">
      <c r="A1145" s="621"/>
      <c r="C1145" s="354"/>
      <c r="F1145" s="622"/>
      <c r="G1145" s="623"/>
      <c r="H1145" s="623"/>
      <c r="I1145" s="621"/>
      <c r="L1145" s="623"/>
      <c r="M1145" s="624"/>
      <c r="N1145" s="623"/>
      <c r="O1145" s="623"/>
      <c r="P1145" s="623"/>
      <c r="Q1145" s="623"/>
    </row>
    <row r="1146" spans="1:17">
      <c r="A1146" s="621"/>
      <c r="C1146" s="354"/>
      <c r="F1146" s="622"/>
      <c r="G1146" s="623"/>
      <c r="H1146" s="623"/>
      <c r="I1146" s="621"/>
      <c r="L1146" s="623"/>
      <c r="M1146" s="624"/>
      <c r="N1146" s="623"/>
      <c r="O1146" s="623"/>
      <c r="P1146" s="623"/>
      <c r="Q1146" s="623"/>
    </row>
    <row r="1147" spans="1:17">
      <c r="A1147" s="621"/>
      <c r="C1147" s="354"/>
      <c r="F1147" s="622"/>
      <c r="G1147" s="623"/>
      <c r="H1147" s="623"/>
      <c r="I1147" s="621"/>
      <c r="L1147" s="623"/>
      <c r="M1147" s="624"/>
      <c r="N1147" s="623"/>
      <c r="O1147" s="623"/>
      <c r="P1147" s="623"/>
      <c r="Q1147" s="623"/>
    </row>
    <row r="1148" spans="1:17">
      <c r="A1148" s="621"/>
      <c r="C1148" s="354"/>
      <c r="F1148" s="622"/>
      <c r="G1148" s="623"/>
      <c r="H1148" s="623"/>
      <c r="I1148" s="621"/>
      <c r="L1148" s="623"/>
      <c r="M1148" s="624"/>
      <c r="N1148" s="623"/>
      <c r="O1148" s="623"/>
      <c r="P1148" s="623"/>
      <c r="Q1148" s="623"/>
    </row>
    <row r="1149" spans="1:17">
      <c r="A1149" s="621"/>
      <c r="C1149" s="354"/>
      <c r="F1149" s="622"/>
      <c r="G1149" s="623"/>
      <c r="H1149" s="623"/>
      <c r="I1149" s="621"/>
      <c r="L1149" s="623"/>
      <c r="M1149" s="624"/>
      <c r="N1149" s="623"/>
      <c r="O1149" s="623"/>
      <c r="P1149" s="623"/>
      <c r="Q1149" s="623"/>
    </row>
    <row r="1150" spans="1:17">
      <c r="A1150" s="621"/>
      <c r="C1150" s="354"/>
      <c r="F1150" s="622"/>
      <c r="G1150" s="623"/>
      <c r="H1150" s="623"/>
      <c r="I1150" s="621"/>
      <c r="L1150" s="623"/>
      <c r="M1150" s="624"/>
      <c r="N1150" s="623"/>
      <c r="O1150" s="623"/>
      <c r="P1150" s="623"/>
      <c r="Q1150" s="623"/>
    </row>
    <row r="1151" spans="1:17">
      <c r="A1151" s="621"/>
      <c r="C1151" s="354"/>
      <c r="F1151" s="622"/>
      <c r="G1151" s="623"/>
      <c r="H1151" s="623"/>
      <c r="I1151" s="621"/>
      <c r="L1151" s="623"/>
      <c r="M1151" s="624"/>
      <c r="N1151" s="623"/>
      <c r="O1151" s="623"/>
      <c r="P1151" s="623"/>
      <c r="Q1151" s="623"/>
    </row>
    <row r="1152" spans="1:17">
      <c r="A1152" s="621"/>
      <c r="C1152" s="354"/>
      <c r="F1152" s="622"/>
      <c r="G1152" s="623"/>
      <c r="H1152" s="623"/>
      <c r="I1152" s="621"/>
      <c r="L1152" s="623"/>
      <c r="M1152" s="624"/>
      <c r="N1152" s="623"/>
      <c r="O1152" s="623"/>
      <c r="P1152" s="623"/>
      <c r="Q1152" s="623"/>
    </row>
    <row r="1153" spans="1:17">
      <c r="A1153" s="621"/>
      <c r="C1153" s="354"/>
      <c r="F1153" s="622"/>
      <c r="G1153" s="623"/>
      <c r="H1153" s="623"/>
      <c r="I1153" s="621"/>
      <c r="L1153" s="623"/>
      <c r="M1153" s="624"/>
      <c r="N1153" s="623"/>
      <c r="O1153" s="623"/>
      <c r="P1153" s="623"/>
      <c r="Q1153" s="623"/>
    </row>
    <row r="1154" spans="1:17">
      <c r="A1154" s="621"/>
      <c r="C1154" s="354"/>
      <c r="F1154" s="622"/>
      <c r="G1154" s="623"/>
      <c r="H1154" s="623"/>
      <c r="I1154" s="621"/>
      <c r="L1154" s="623"/>
      <c r="M1154" s="624"/>
      <c r="N1154" s="623"/>
      <c r="O1154" s="623"/>
      <c r="P1154" s="623"/>
      <c r="Q1154" s="623"/>
    </row>
    <row r="1155" spans="1:17">
      <c r="A1155" s="621"/>
      <c r="C1155" s="354"/>
      <c r="F1155" s="622"/>
      <c r="G1155" s="623"/>
      <c r="H1155" s="623"/>
      <c r="I1155" s="621"/>
      <c r="L1155" s="623"/>
      <c r="M1155" s="624"/>
      <c r="N1155" s="623"/>
      <c r="O1155" s="623"/>
      <c r="P1155" s="623"/>
      <c r="Q1155" s="623"/>
    </row>
    <row r="1156" spans="1:17">
      <c r="A1156" s="621"/>
      <c r="C1156" s="354"/>
      <c r="F1156" s="622"/>
      <c r="G1156" s="623"/>
      <c r="H1156" s="623"/>
      <c r="I1156" s="621"/>
      <c r="L1156" s="623"/>
      <c r="M1156" s="624"/>
      <c r="N1156" s="623"/>
      <c r="O1156" s="623"/>
      <c r="P1156" s="623"/>
      <c r="Q1156" s="623"/>
    </row>
    <row r="1157" spans="1:17">
      <c r="A1157" s="621"/>
      <c r="C1157" s="354"/>
      <c r="F1157" s="622"/>
      <c r="G1157" s="623"/>
      <c r="H1157" s="623"/>
      <c r="I1157" s="621"/>
      <c r="L1157" s="623"/>
      <c r="M1157" s="624"/>
      <c r="N1157" s="623"/>
      <c r="O1157" s="623"/>
      <c r="P1157" s="623"/>
      <c r="Q1157" s="623"/>
    </row>
    <row r="1158" spans="1:17">
      <c r="A1158" s="621"/>
      <c r="C1158" s="354"/>
      <c r="F1158" s="622"/>
      <c r="G1158" s="623"/>
      <c r="H1158" s="623"/>
      <c r="I1158" s="621"/>
      <c r="L1158" s="623"/>
      <c r="M1158" s="624"/>
      <c r="N1158" s="623"/>
      <c r="O1158" s="623"/>
      <c r="P1158" s="623"/>
      <c r="Q1158" s="623"/>
    </row>
    <row r="1159" spans="1:17">
      <c r="A1159" s="621"/>
      <c r="C1159" s="354"/>
      <c r="F1159" s="622"/>
      <c r="G1159" s="623"/>
      <c r="H1159" s="623"/>
      <c r="I1159" s="621"/>
      <c r="L1159" s="623"/>
      <c r="M1159" s="624"/>
      <c r="N1159" s="623"/>
      <c r="O1159" s="623"/>
      <c r="P1159" s="623"/>
      <c r="Q1159" s="623"/>
    </row>
    <row r="1160" spans="1:17">
      <c r="A1160" s="621"/>
      <c r="C1160" s="354"/>
      <c r="F1160" s="622"/>
      <c r="G1160" s="623"/>
      <c r="H1160" s="623"/>
      <c r="I1160" s="621"/>
      <c r="L1160" s="623"/>
      <c r="M1160" s="624"/>
      <c r="N1160" s="623"/>
      <c r="O1160" s="623"/>
      <c r="P1160" s="623"/>
      <c r="Q1160" s="623"/>
    </row>
    <row r="1161" spans="1:17">
      <c r="A1161" s="621"/>
      <c r="C1161" s="354"/>
      <c r="F1161" s="622"/>
      <c r="G1161" s="623"/>
      <c r="H1161" s="623"/>
      <c r="I1161" s="621"/>
      <c r="L1161" s="623"/>
      <c r="M1161" s="624"/>
      <c r="N1161" s="623"/>
      <c r="O1161" s="623"/>
      <c r="P1161" s="623"/>
      <c r="Q1161" s="623"/>
    </row>
    <row r="1162" spans="1:17">
      <c r="A1162" s="621"/>
      <c r="C1162" s="354"/>
      <c r="F1162" s="622"/>
      <c r="G1162" s="623"/>
      <c r="H1162" s="623"/>
      <c r="I1162" s="621"/>
      <c r="L1162" s="623"/>
      <c r="M1162" s="624"/>
      <c r="N1162" s="623"/>
      <c r="O1162" s="623"/>
      <c r="P1162" s="623"/>
      <c r="Q1162" s="623"/>
    </row>
    <row r="1163" spans="1:17">
      <c r="A1163" s="621"/>
      <c r="C1163" s="354"/>
      <c r="F1163" s="622"/>
      <c r="G1163" s="623"/>
      <c r="H1163" s="623"/>
      <c r="I1163" s="621"/>
      <c r="L1163" s="623"/>
      <c r="M1163" s="624"/>
      <c r="N1163" s="623"/>
      <c r="O1163" s="623"/>
      <c r="P1163" s="623"/>
      <c r="Q1163" s="623"/>
    </row>
    <row r="1164" spans="1:17">
      <c r="A1164" s="621"/>
      <c r="C1164" s="354"/>
      <c r="F1164" s="622"/>
      <c r="G1164" s="623"/>
      <c r="H1164" s="623"/>
      <c r="I1164" s="621"/>
      <c r="L1164" s="623"/>
      <c r="M1164" s="624"/>
      <c r="N1164" s="623"/>
      <c r="O1164" s="623"/>
      <c r="P1164" s="623"/>
      <c r="Q1164" s="623"/>
    </row>
    <row r="1165" spans="1:17">
      <c r="A1165" s="621"/>
      <c r="C1165" s="354"/>
      <c r="F1165" s="622"/>
      <c r="G1165" s="623"/>
      <c r="H1165" s="623"/>
      <c r="I1165" s="621"/>
      <c r="L1165" s="623"/>
      <c r="M1165" s="624"/>
      <c r="N1165" s="623"/>
      <c r="O1165" s="623"/>
      <c r="P1165" s="623"/>
      <c r="Q1165" s="623"/>
    </row>
    <row r="1166" spans="1:17">
      <c r="A1166" s="621"/>
      <c r="C1166" s="354"/>
      <c r="F1166" s="622"/>
      <c r="G1166" s="623"/>
      <c r="H1166" s="623"/>
      <c r="I1166" s="621"/>
      <c r="L1166" s="623"/>
      <c r="M1166" s="624"/>
      <c r="N1166" s="623"/>
      <c r="O1166" s="623"/>
      <c r="P1166" s="623"/>
      <c r="Q1166" s="623"/>
    </row>
    <row r="1167" spans="1:17">
      <c r="A1167" s="621"/>
      <c r="C1167" s="354"/>
      <c r="F1167" s="622"/>
      <c r="G1167" s="623"/>
      <c r="H1167" s="623"/>
      <c r="I1167" s="621"/>
      <c r="L1167" s="623"/>
      <c r="M1167" s="624"/>
      <c r="N1167" s="623"/>
      <c r="O1167" s="623"/>
      <c r="P1167" s="623"/>
      <c r="Q1167" s="623"/>
    </row>
    <row r="1168" spans="1:17">
      <c r="A1168" s="621"/>
      <c r="C1168" s="354"/>
      <c r="F1168" s="622"/>
      <c r="G1168" s="623"/>
      <c r="H1168" s="623"/>
      <c r="I1168" s="621"/>
      <c r="L1168" s="623"/>
      <c r="M1168" s="624"/>
      <c r="N1168" s="623"/>
      <c r="O1168" s="623"/>
      <c r="P1168" s="623"/>
      <c r="Q1168" s="623"/>
    </row>
    <row r="1169" spans="1:17">
      <c r="A1169" s="621"/>
      <c r="C1169" s="354"/>
      <c r="F1169" s="622"/>
      <c r="G1169" s="623"/>
      <c r="H1169" s="623"/>
      <c r="I1169" s="621"/>
      <c r="L1169" s="623"/>
      <c r="M1169" s="624"/>
      <c r="N1169" s="623"/>
      <c r="O1169" s="623"/>
      <c r="P1169" s="623"/>
      <c r="Q1169" s="623"/>
    </row>
    <row r="1170" spans="1:17">
      <c r="A1170" s="621"/>
      <c r="C1170" s="354"/>
      <c r="F1170" s="622"/>
      <c r="G1170" s="623"/>
      <c r="H1170" s="623"/>
      <c r="I1170" s="621"/>
      <c r="L1170" s="623"/>
      <c r="M1170" s="624"/>
      <c r="N1170" s="623"/>
      <c r="O1170" s="623"/>
      <c r="P1170" s="623"/>
      <c r="Q1170" s="623"/>
    </row>
    <row r="1171" spans="1:17">
      <c r="A1171" s="621"/>
      <c r="C1171" s="354"/>
      <c r="F1171" s="622"/>
      <c r="G1171" s="623"/>
      <c r="H1171" s="623"/>
      <c r="I1171" s="621"/>
      <c r="L1171" s="623"/>
      <c r="M1171" s="624"/>
      <c r="N1171" s="623"/>
      <c r="O1171" s="623"/>
      <c r="P1171" s="623"/>
      <c r="Q1171" s="623"/>
    </row>
    <row r="1172" spans="1:17">
      <c r="A1172" s="621"/>
      <c r="C1172" s="354"/>
      <c r="F1172" s="622"/>
      <c r="G1172" s="623"/>
      <c r="H1172" s="623"/>
      <c r="I1172" s="621"/>
      <c r="L1172" s="623"/>
      <c r="M1172" s="624"/>
      <c r="N1172" s="623"/>
      <c r="O1172" s="623"/>
      <c r="P1172" s="623"/>
      <c r="Q1172" s="623"/>
    </row>
    <row r="1173" spans="1:17">
      <c r="A1173" s="621"/>
      <c r="C1173" s="354"/>
      <c r="F1173" s="622"/>
      <c r="G1173" s="623"/>
      <c r="H1173" s="623"/>
      <c r="I1173" s="621"/>
      <c r="L1173" s="623"/>
      <c r="M1173" s="624"/>
      <c r="N1173" s="623"/>
      <c r="O1173" s="623"/>
      <c r="P1173" s="623"/>
      <c r="Q1173" s="623"/>
    </row>
    <row r="1174" spans="1:17">
      <c r="A1174" s="621"/>
      <c r="C1174" s="354"/>
      <c r="F1174" s="622"/>
      <c r="G1174" s="623"/>
      <c r="H1174" s="623"/>
      <c r="I1174" s="621"/>
      <c r="L1174" s="623"/>
      <c r="M1174" s="624"/>
      <c r="N1174" s="623"/>
      <c r="O1174" s="623"/>
      <c r="P1174" s="623"/>
      <c r="Q1174" s="623"/>
    </row>
    <row r="1175" spans="1:17">
      <c r="A1175" s="621"/>
      <c r="C1175" s="354"/>
      <c r="F1175" s="622"/>
      <c r="G1175" s="623"/>
      <c r="H1175" s="623"/>
      <c r="I1175" s="621"/>
      <c r="L1175" s="623"/>
      <c r="M1175" s="624"/>
      <c r="N1175" s="623"/>
      <c r="O1175" s="623"/>
      <c r="P1175" s="623"/>
      <c r="Q1175" s="623"/>
    </row>
    <row r="1176" spans="1:17">
      <c r="A1176" s="621"/>
      <c r="C1176" s="354"/>
      <c r="F1176" s="622"/>
      <c r="G1176" s="623"/>
      <c r="H1176" s="623"/>
      <c r="I1176" s="621"/>
      <c r="L1176" s="623"/>
      <c r="M1176" s="624"/>
      <c r="N1176" s="623"/>
      <c r="O1176" s="623"/>
      <c r="P1176" s="623"/>
      <c r="Q1176" s="623"/>
    </row>
    <row r="1177" spans="1:17">
      <c r="A1177" s="621"/>
      <c r="C1177" s="354"/>
      <c r="F1177" s="622"/>
      <c r="G1177" s="623"/>
      <c r="H1177" s="623"/>
      <c r="I1177" s="621"/>
      <c r="L1177" s="623"/>
      <c r="M1177" s="624"/>
      <c r="N1177" s="623"/>
      <c r="O1177" s="623"/>
      <c r="P1177" s="623"/>
      <c r="Q1177" s="623"/>
    </row>
    <row r="1178" spans="1:17">
      <c r="A1178" s="621"/>
      <c r="C1178" s="354"/>
      <c r="F1178" s="622"/>
      <c r="G1178" s="623"/>
      <c r="H1178" s="623"/>
      <c r="I1178" s="621"/>
      <c r="L1178" s="623"/>
      <c r="M1178" s="624"/>
      <c r="N1178" s="623"/>
      <c r="O1178" s="623"/>
      <c r="P1178" s="623"/>
      <c r="Q1178" s="623"/>
    </row>
    <row r="1179" spans="1:17">
      <c r="A1179" s="621"/>
      <c r="C1179" s="354"/>
      <c r="F1179" s="622"/>
      <c r="G1179" s="623"/>
      <c r="H1179" s="623"/>
      <c r="I1179" s="621"/>
      <c r="L1179" s="623"/>
      <c r="M1179" s="624"/>
      <c r="N1179" s="623"/>
      <c r="O1179" s="623"/>
      <c r="P1179" s="623"/>
      <c r="Q1179" s="623"/>
    </row>
    <row r="1180" spans="1:17">
      <c r="A1180" s="621"/>
      <c r="C1180" s="354"/>
      <c r="F1180" s="622"/>
      <c r="G1180" s="623"/>
      <c r="H1180" s="623"/>
      <c r="I1180" s="621"/>
      <c r="L1180" s="623"/>
      <c r="M1180" s="624"/>
      <c r="N1180" s="623"/>
      <c r="O1180" s="623"/>
      <c r="P1180" s="623"/>
      <c r="Q1180" s="623"/>
    </row>
    <row r="1181" spans="1:17">
      <c r="A1181" s="621"/>
      <c r="C1181" s="354"/>
      <c r="F1181" s="622"/>
      <c r="G1181" s="623"/>
      <c r="H1181" s="623"/>
      <c r="I1181" s="621"/>
      <c r="L1181" s="623"/>
      <c r="M1181" s="624"/>
      <c r="N1181" s="623"/>
      <c r="O1181" s="623"/>
      <c r="P1181" s="623"/>
      <c r="Q1181" s="623"/>
    </row>
    <row r="1182" spans="1:17">
      <c r="A1182" s="621"/>
      <c r="C1182" s="354"/>
      <c r="F1182" s="622"/>
      <c r="G1182" s="623"/>
      <c r="H1182" s="623"/>
      <c r="I1182" s="621"/>
      <c r="L1182" s="623"/>
      <c r="M1182" s="624"/>
      <c r="N1182" s="623"/>
      <c r="O1182" s="623"/>
      <c r="P1182" s="623"/>
      <c r="Q1182" s="623"/>
    </row>
    <row r="1183" spans="1:17">
      <c r="A1183" s="621"/>
      <c r="C1183" s="354"/>
      <c r="F1183" s="622"/>
      <c r="G1183" s="623"/>
      <c r="H1183" s="623"/>
      <c r="I1183" s="621"/>
      <c r="L1183" s="623"/>
      <c r="M1183" s="624"/>
      <c r="N1183" s="623"/>
      <c r="O1183" s="623"/>
      <c r="P1183" s="623"/>
      <c r="Q1183" s="623"/>
    </row>
    <row r="1184" spans="1:17">
      <c r="A1184" s="621"/>
      <c r="C1184" s="354"/>
      <c r="F1184" s="622"/>
      <c r="G1184" s="623"/>
      <c r="H1184" s="623"/>
      <c r="I1184" s="621"/>
      <c r="L1184" s="623"/>
      <c r="M1184" s="624"/>
      <c r="N1184" s="623"/>
      <c r="O1184" s="623"/>
      <c r="P1184" s="623"/>
      <c r="Q1184" s="623"/>
    </row>
    <row r="1185" spans="1:17">
      <c r="A1185" s="621"/>
      <c r="C1185" s="354"/>
      <c r="F1185" s="622"/>
      <c r="G1185" s="623"/>
      <c r="H1185" s="623"/>
      <c r="I1185" s="621"/>
      <c r="L1185" s="623"/>
      <c r="M1185" s="624"/>
      <c r="N1185" s="623"/>
      <c r="O1185" s="623"/>
      <c r="P1185" s="623"/>
      <c r="Q1185" s="623"/>
    </row>
    <row r="1186" spans="1:17">
      <c r="A1186" s="621"/>
      <c r="C1186" s="354"/>
      <c r="F1186" s="622"/>
      <c r="G1186" s="623"/>
      <c r="H1186" s="623"/>
      <c r="I1186" s="621"/>
      <c r="L1186" s="623"/>
      <c r="M1186" s="624"/>
      <c r="N1186" s="623"/>
      <c r="O1186" s="623"/>
      <c r="P1186" s="623"/>
      <c r="Q1186" s="623"/>
    </row>
    <row r="1187" spans="1:17">
      <c r="A1187" s="621"/>
      <c r="C1187" s="354"/>
      <c r="F1187" s="622"/>
      <c r="G1187" s="623"/>
      <c r="H1187" s="623"/>
      <c r="I1187" s="621"/>
      <c r="L1187" s="623"/>
      <c r="M1187" s="624"/>
      <c r="N1187" s="623"/>
      <c r="O1187" s="623"/>
      <c r="P1187" s="623"/>
      <c r="Q1187" s="623"/>
    </row>
    <row r="1188" spans="1:17">
      <c r="A1188" s="621"/>
      <c r="C1188" s="354"/>
      <c r="F1188" s="622"/>
      <c r="G1188" s="623"/>
      <c r="H1188" s="623"/>
      <c r="I1188" s="621"/>
      <c r="L1188" s="623"/>
      <c r="M1188" s="624"/>
      <c r="N1188" s="623"/>
      <c r="O1188" s="623"/>
      <c r="P1188" s="623"/>
      <c r="Q1188" s="623"/>
    </row>
    <row r="1189" spans="1:17">
      <c r="A1189" s="621"/>
      <c r="C1189" s="354"/>
      <c r="F1189" s="622"/>
      <c r="G1189" s="623"/>
      <c r="H1189" s="623"/>
      <c r="I1189" s="621"/>
      <c r="L1189" s="623"/>
      <c r="M1189" s="624"/>
      <c r="N1189" s="623"/>
      <c r="O1189" s="623"/>
      <c r="P1189" s="623"/>
      <c r="Q1189" s="623"/>
    </row>
    <row r="1190" spans="1:17">
      <c r="A1190" s="621"/>
      <c r="C1190" s="354"/>
      <c r="F1190" s="622"/>
      <c r="G1190" s="623"/>
      <c r="H1190" s="623"/>
      <c r="I1190" s="621"/>
      <c r="L1190" s="623"/>
      <c r="M1190" s="624"/>
      <c r="N1190" s="623"/>
      <c r="O1190" s="623"/>
      <c r="P1190" s="623"/>
      <c r="Q1190" s="623"/>
    </row>
    <row r="1191" spans="1:17">
      <c r="A1191" s="621"/>
      <c r="C1191" s="354"/>
      <c r="F1191" s="622"/>
      <c r="G1191" s="623"/>
      <c r="H1191" s="623"/>
      <c r="I1191" s="621"/>
      <c r="L1191" s="623"/>
      <c r="M1191" s="624"/>
      <c r="N1191" s="623"/>
      <c r="O1191" s="623"/>
      <c r="P1191" s="623"/>
      <c r="Q1191" s="623"/>
    </row>
    <row r="1192" spans="1:17">
      <c r="A1192" s="621"/>
      <c r="C1192" s="354"/>
      <c r="F1192" s="622"/>
      <c r="G1192" s="623"/>
      <c r="H1192" s="623"/>
      <c r="I1192" s="621"/>
      <c r="L1192" s="623"/>
      <c r="M1192" s="624"/>
      <c r="N1192" s="623"/>
      <c r="O1192" s="623"/>
      <c r="P1192" s="623"/>
      <c r="Q1192" s="623"/>
    </row>
    <row r="1193" spans="1:17">
      <c r="A1193" s="621"/>
      <c r="C1193" s="354"/>
      <c r="F1193" s="622"/>
      <c r="G1193" s="623"/>
      <c r="H1193" s="623"/>
      <c r="I1193" s="621"/>
      <c r="L1193" s="623"/>
      <c r="M1193" s="624"/>
      <c r="N1193" s="623"/>
      <c r="O1193" s="623"/>
      <c r="P1193" s="623"/>
      <c r="Q1193" s="623"/>
    </row>
    <row r="1194" spans="1:17">
      <c r="A1194" s="621"/>
      <c r="C1194" s="354"/>
      <c r="F1194" s="622"/>
      <c r="G1194" s="623"/>
      <c r="H1194" s="623"/>
      <c r="I1194" s="621"/>
      <c r="L1194" s="623"/>
      <c r="M1194" s="624"/>
      <c r="N1194" s="623"/>
      <c r="O1194" s="623"/>
      <c r="P1194" s="623"/>
      <c r="Q1194" s="623"/>
    </row>
    <row r="1195" spans="1:17">
      <c r="A1195" s="621"/>
      <c r="C1195" s="354"/>
      <c r="F1195" s="622"/>
      <c r="G1195" s="623"/>
      <c r="H1195" s="623"/>
      <c r="I1195" s="621"/>
      <c r="L1195" s="623"/>
      <c r="M1195" s="624"/>
      <c r="N1195" s="623"/>
      <c r="O1195" s="623"/>
      <c r="P1195" s="623"/>
      <c r="Q1195" s="623"/>
    </row>
    <row r="1196" spans="1:17">
      <c r="A1196" s="621"/>
      <c r="C1196" s="354"/>
      <c r="F1196" s="622"/>
      <c r="G1196" s="623"/>
      <c r="H1196" s="623"/>
      <c r="I1196" s="621"/>
      <c r="L1196" s="623"/>
      <c r="M1196" s="624"/>
      <c r="N1196" s="623"/>
      <c r="O1196" s="623"/>
      <c r="P1196" s="623"/>
      <c r="Q1196" s="623"/>
    </row>
    <row r="1197" spans="1:17">
      <c r="A1197" s="621"/>
      <c r="C1197" s="354"/>
      <c r="F1197" s="622"/>
      <c r="G1197" s="623"/>
      <c r="H1197" s="623"/>
      <c r="I1197" s="621"/>
      <c r="L1197" s="623"/>
      <c r="M1197" s="624"/>
      <c r="N1197" s="623"/>
      <c r="O1197" s="623"/>
      <c r="P1197" s="623"/>
      <c r="Q1197" s="623"/>
    </row>
    <row r="1198" spans="1:17">
      <c r="A1198" s="621"/>
      <c r="C1198" s="354"/>
      <c r="F1198" s="622"/>
      <c r="G1198" s="623"/>
      <c r="H1198" s="623"/>
      <c r="I1198" s="621"/>
      <c r="L1198" s="623"/>
      <c r="M1198" s="624"/>
      <c r="N1198" s="623"/>
      <c r="O1198" s="623"/>
      <c r="P1198" s="623"/>
      <c r="Q1198" s="623"/>
    </row>
    <row r="1199" spans="1:17">
      <c r="A1199" s="621"/>
      <c r="C1199" s="354"/>
      <c r="F1199" s="622"/>
      <c r="G1199" s="623"/>
      <c r="H1199" s="623"/>
      <c r="I1199" s="621"/>
      <c r="L1199" s="623"/>
      <c r="M1199" s="624"/>
      <c r="N1199" s="623"/>
      <c r="O1199" s="623"/>
      <c r="P1199" s="623"/>
      <c r="Q1199" s="623"/>
    </row>
    <row r="1200" spans="1:17">
      <c r="A1200" s="621"/>
      <c r="C1200" s="354"/>
      <c r="F1200" s="622"/>
      <c r="G1200" s="623"/>
      <c r="H1200" s="623"/>
      <c r="I1200" s="621"/>
      <c r="L1200" s="623"/>
      <c r="M1200" s="624"/>
      <c r="N1200" s="623"/>
      <c r="O1200" s="623"/>
      <c r="P1200" s="623"/>
      <c r="Q1200" s="623"/>
    </row>
    <row r="1201" spans="1:17">
      <c r="A1201" s="621"/>
      <c r="C1201" s="354"/>
      <c r="F1201" s="622"/>
      <c r="G1201" s="623"/>
      <c r="H1201" s="623"/>
      <c r="I1201" s="621"/>
      <c r="L1201" s="623"/>
      <c r="M1201" s="624"/>
      <c r="N1201" s="623"/>
      <c r="O1201" s="623"/>
      <c r="P1201" s="623"/>
      <c r="Q1201" s="623"/>
    </row>
    <row r="1202" spans="1:17">
      <c r="A1202" s="621"/>
      <c r="C1202" s="354"/>
      <c r="F1202" s="622"/>
      <c r="G1202" s="623"/>
      <c r="H1202" s="623"/>
      <c r="I1202" s="621"/>
      <c r="L1202" s="623"/>
      <c r="M1202" s="624"/>
      <c r="N1202" s="623"/>
      <c r="O1202" s="623"/>
      <c r="P1202" s="623"/>
      <c r="Q1202" s="623"/>
    </row>
    <row r="1203" spans="1:17">
      <c r="A1203" s="621"/>
      <c r="C1203" s="354"/>
      <c r="F1203" s="622"/>
      <c r="G1203" s="623"/>
      <c r="H1203" s="623"/>
      <c r="I1203" s="621"/>
      <c r="L1203" s="623"/>
      <c r="M1203" s="624"/>
      <c r="N1203" s="623"/>
      <c r="O1203" s="623"/>
      <c r="P1203" s="623"/>
      <c r="Q1203" s="623"/>
    </row>
    <row r="1204" spans="1:17">
      <c r="A1204" s="621"/>
      <c r="C1204" s="354"/>
      <c r="F1204" s="622"/>
      <c r="G1204" s="623"/>
      <c r="H1204" s="623"/>
      <c r="I1204" s="621"/>
      <c r="L1204" s="623"/>
      <c r="M1204" s="624"/>
      <c r="N1204" s="623"/>
      <c r="O1204" s="623"/>
      <c r="P1204" s="623"/>
      <c r="Q1204" s="623"/>
    </row>
    <row r="1205" spans="1:17">
      <c r="A1205" s="621"/>
      <c r="C1205" s="354"/>
      <c r="F1205" s="622"/>
      <c r="G1205" s="623"/>
      <c r="H1205" s="623"/>
      <c r="I1205" s="621"/>
      <c r="L1205" s="623"/>
      <c r="M1205" s="624"/>
      <c r="N1205" s="623"/>
      <c r="O1205" s="623"/>
      <c r="P1205" s="623"/>
      <c r="Q1205" s="623"/>
    </row>
    <row r="1206" spans="1:17">
      <c r="A1206" s="621"/>
      <c r="C1206" s="354"/>
      <c r="F1206" s="622"/>
      <c r="G1206" s="623"/>
      <c r="H1206" s="623"/>
      <c r="I1206" s="621"/>
      <c r="L1206" s="623"/>
      <c r="M1206" s="624"/>
      <c r="N1206" s="623"/>
      <c r="O1206" s="623"/>
      <c r="P1206" s="623"/>
      <c r="Q1206" s="623"/>
    </row>
  </sheetData>
  <mergeCells count="1">
    <mergeCell ref="P3:R3"/>
  </mergeCells>
  <phoneticPr fontId="24"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3"/>
  <sheetViews>
    <sheetView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551" bestFit="1" customWidth="1"/>
    <col min="7" max="10" width="12.85546875" style="657" customWidth="1"/>
    <col min="11" max="11" width="12.140625" style="654" customWidth="1"/>
    <col min="12" max="12" width="11.85546875" style="456"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485</v>
      </c>
      <c r="B1" s="12"/>
      <c r="C1" s="12"/>
      <c r="D1" s="12"/>
      <c r="E1" s="12"/>
      <c r="F1" s="84"/>
      <c r="G1" s="122"/>
      <c r="H1" s="122"/>
      <c r="I1" s="122"/>
      <c r="L1"/>
      <c r="M1" s="540"/>
      <c r="O1" s="540"/>
    </row>
    <row r="2" spans="1:23" ht="15.75" thickTop="1">
      <c r="L2"/>
      <c r="M2" s="542" t="s">
        <v>471</v>
      </c>
      <c r="O2"/>
    </row>
    <row r="3" spans="1:23">
      <c r="B3" s="543" t="s">
        <v>2278</v>
      </c>
      <c r="C3" s="183" t="s">
        <v>2250</v>
      </c>
      <c r="L3"/>
      <c r="M3"/>
      <c r="O3"/>
    </row>
    <row r="4" spans="1:23">
      <c r="L4"/>
      <c r="M4" s="2" t="s">
        <v>2251</v>
      </c>
      <c r="N4" t="s">
        <v>555</v>
      </c>
      <c r="O4" s="2" t="s">
        <v>2252</v>
      </c>
    </row>
    <row r="5" spans="1:23">
      <c r="B5" s="344" t="s">
        <v>472</v>
      </c>
      <c r="G5" s="930" t="s">
        <v>2193</v>
      </c>
      <c r="H5" s="930"/>
      <c r="I5" s="930"/>
      <c r="J5" s="930"/>
      <c r="L5"/>
      <c r="M5" s="544">
        <v>55</v>
      </c>
      <c r="O5" s="544">
        <v>9</v>
      </c>
      <c r="S5">
        <v>1</v>
      </c>
      <c r="T5">
        <v>2</v>
      </c>
      <c r="U5">
        <v>3</v>
      </c>
      <c r="V5">
        <v>4</v>
      </c>
      <c r="W5">
        <v>5</v>
      </c>
    </row>
    <row r="6" spans="1:23">
      <c r="A6" s="2" t="s">
        <v>493</v>
      </c>
      <c r="B6" s="2" t="s">
        <v>494</v>
      </c>
      <c r="C6" s="3" t="s">
        <v>495</v>
      </c>
      <c r="D6" s="2" t="s">
        <v>2216</v>
      </c>
      <c r="E6" s="2" t="s">
        <v>549</v>
      </c>
      <c r="F6" s="2" t="s">
        <v>1789</v>
      </c>
      <c r="G6" s="658" t="s">
        <v>2213</v>
      </c>
      <c r="H6" s="659" t="s">
        <v>3263</v>
      </c>
      <c r="I6" s="660" t="s">
        <v>3845</v>
      </c>
      <c r="J6" s="660" t="s">
        <v>4580</v>
      </c>
      <c r="K6" s="2" t="s">
        <v>3264</v>
      </c>
      <c r="L6"/>
      <c r="M6" s="540"/>
      <c r="O6" s="540"/>
      <c r="S6" s="2" t="s">
        <v>3264</v>
      </c>
      <c r="T6" s="139" t="s">
        <v>2213</v>
      </c>
      <c r="U6" s="455" t="s">
        <v>3263</v>
      </c>
      <c r="V6" s="548" t="s">
        <v>3845</v>
      </c>
      <c r="W6" s="548" t="s">
        <v>4580</v>
      </c>
    </row>
    <row r="7" spans="1:23">
      <c r="A7" s="67">
        <v>0</v>
      </c>
      <c r="B7" s="545" t="s">
        <v>2282</v>
      </c>
      <c r="C7" s="67"/>
      <c r="D7" s="187"/>
      <c r="E7" s="187"/>
      <c r="F7" s="67"/>
      <c r="G7" s="661"/>
      <c r="H7" s="661"/>
      <c r="I7" s="661"/>
      <c r="J7" s="661"/>
      <c r="K7" s="67"/>
      <c r="L7"/>
      <c r="M7" s="719" t="s">
        <v>2250</v>
      </c>
      <c r="O7" s="719" t="s">
        <v>2250</v>
      </c>
      <c r="T7" s="546"/>
      <c r="U7" s="546"/>
      <c r="V7" s="546"/>
      <c r="W7" s="546"/>
    </row>
    <row r="8" spans="1:23">
      <c r="A8" s="565">
        <v>702</v>
      </c>
      <c r="B8" s="695" t="s">
        <v>5416</v>
      </c>
      <c r="C8" s="566">
        <f>A8</f>
        <v>702</v>
      </c>
      <c r="D8" s="699" t="s">
        <v>2217</v>
      </c>
      <c r="E8" s="701" t="s">
        <v>7897</v>
      </c>
      <c r="F8" s="567">
        <v>1</v>
      </c>
      <c r="G8" s="662">
        <v>0</v>
      </c>
      <c r="H8" s="662">
        <v>0</v>
      </c>
      <c r="I8" s="662">
        <v>0</v>
      </c>
      <c r="J8" s="662">
        <v>19695.311106668822</v>
      </c>
      <c r="K8" s="568" t="s">
        <v>4586</v>
      </c>
      <c r="L8" s="549"/>
      <c r="M8" s="719" t="s">
        <v>2283</v>
      </c>
      <c r="O8" s="719" t="s">
        <v>2459</v>
      </c>
      <c r="S8" s="550"/>
      <c r="T8" s="547"/>
      <c r="U8" s="547"/>
      <c r="V8" s="547"/>
      <c r="W8" s="549"/>
    </row>
    <row r="9" spans="1:23">
      <c r="A9" s="565">
        <v>703</v>
      </c>
      <c r="B9" s="695" t="s">
        <v>5417</v>
      </c>
      <c r="C9" s="566">
        <f t="shared" ref="C9:C72" si="0">A9</f>
        <v>703</v>
      </c>
      <c r="D9" s="699" t="s">
        <v>2217</v>
      </c>
      <c r="E9" s="701" t="s">
        <v>5094</v>
      </c>
      <c r="F9" s="567">
        <v>1</v>
      </c>
      <c r="G9" s="662">
        <v>0</v>
      </c>
      <c r="H9" s="662">
        <v>0</v>
      </c>
      <c r="I9" s="662">
        <v>21630.11966578733</v>
      </c>
      <c r="J9" s="662">
        <v>22213.230372260856</v>
      </c>
      <c r="K9" s="568" t="s">
        <v>3851</v>
      </c>
      <c r="L9" s="549"/>
      <c r="M9" s="719" t="s">
        <v>2284</v>
      </c>
      <c r="O9" s="719" t="s">
        <v>2342</v>
      </c>
      <c r="S9" s="550"/>
      <c r="T9" s="547"/>
      <c r="U9" s="547"/>
      <c r="V9" s="547"/>
      <c r="W9" s="549"/>
    </row>
    <row r="10" spans="1:23">
      <c r="A10" s="565">
        <v>704</v>
      </c>
      <c r="B10" s="696" t="s">
        <v>5418</v>
      </c>
      <c r="C10" s="566">
        <f t="shared" si="0"/>
        <v>704</v>
      </c>
      <c r="D10" s="700" t="s">
        <v>2217</v>
      </c>
      <c r="E10" s="701" t="s">
        <v>5095</v>
      </c>
      <c r="F10" s="566">
        <v>1</v>
      </c>
      <c r="G10" s="662">
        <v>0</v>
      </c>
      <c r="H10" s="662">
        <v>0</v>
      </c>
      <c r="I10" s="662">
        <v>23564.928224905838</v>
      </c>
      <c r="J10" s="662">
        <v>24206.364583439736</v>
      </c>
      <c r="K10" s="566" t="s">
        <v>3850</v>
      </c>
      <c r="L10" s="549"/>
      <c r="M10" s="719" t="s">
        <v>2286</v>
      </c>
      <c r="O10" s="719" t="s">
        <v>2343</v>
      </c>
      <c r="S10" s="550"/>
      <c r="T10" s="547"/>
      <c r="U10" s="547"/>
      <c r="V10" s="547"/>
      <c r="W10" s="549"/>
    </row>
    <row r="11" spans="1:23">
      <c r="A11" s="565">
        <v>705</v>
      </c>
      <c r="B11" s="695" t="s">
        <v>5415</v>
      </c>
      <c r="C11" s="566">
        <f t="shared" si="0"/>
        <v>705</v>
      </c>
      <c r="D11" s="699" t="s">
        <v>2217</v>
      </c>
      <c r="E11" s="701" t="s">
        <v>5096</v>
      </c>
      <c r="F11" s="567">
        <v>1</v>
      </c>
      <c r="G11" s="662">
        <v>34074.310687826008</v>
      </c>
      <c r="H11" s="662">
        <v>35193.993823809367</v>
      </c>
      <c r="I11" s="662">
        <v>36372.603925731724</v>
      </c>
      <c r="J11" s="662">
        <v>37613.255451852929</v>
      </c>
      <c r="K11" s="568" t="s">
        <v>1790</v>
      </c>
      <c r="L11" s="549"/>
      <c r="M11" s="719" t="s">
        <v>2219</v>
      </c>
      <c r="O11" s="719" t="s">
        <v>2344</v>
      </c>
      <c r="S11" s="550"/>
      <c r="T11" s="547"/>
      <c r="U11" s="547"/>
      <c r="V11" s="547"/>
      <c r="W11" s="549"/>
    </row>
    <row r="12" spans="1:23">
      <c r="A12" s="565">
        <v>706</v>
      </c>
      <c r="B12" s="696" t="s">
        <v>5419</v>
      </c>
      <c r="C12" s="566">
        <f t="shared" si="0"/>
        <v>706</v>
      </c>
      <c r="D12" s="700" t="s">
        <v>2217</v>
      </c>
      <c r="E12" s="701" t="s">
        <v>5097</v>
      </c>
      <c r="F12" s="566">
        <v>1</v>
      </c>
      <c r="G12" s="662">
        <v>0</v>
      </c>
      <c r="H12" s="662">
        <v>0</v>
      </c>
      <c r="I12" s="662">
        <v>32407.227431788193</v>
      </c>
      <c r="J12" s="662">
        <v>33393.304828879576</v>
      </c>
      <c r="K12" s="566" t="s">
        <v>3852</v>
      </c>
      <c r="L12" s="549"/>
      <c r="M12" s="719" t="s">
        <v>2220</v>
      </c>
      <c r="O12" s="719" t="s">
        <v>2345</v>
      </c>
      <c r="S12" s="550"/>
      <c r="T12" s="547"/>
      <c r="U12" s="547"/>
      <c r="V12" s="547"/>
      <c r="W12" s="549"/>
    </row>
    <row r="13" spans="1:23">
      <c r="A13" s="565">
        <v>707</v>
      </c>
      <c r="B13" s="696" t="s">
        <v>5420</v>
      </c>
      <c r="C13" s="566">
        <f t="shared" si="0"/>
        <v>707</v>
      </c>
      <c r="D13" s="700" t="s">
        <v>2217</v>
      </c>
      <c r="E13" s="701" t="s">
        <v>5098</v>
      </c>
      <c r="F13" s="566">
        <v>1</v>
      </c>
      <c r="G13" s="662">
        <v>27879.744909971199</v>
      </c>
      <c r="H13" s="662">
        <v>28733.750712740024</v>
      </c>
      <c r="I13" s="662">
        <v>29632.695161888721</v>
      </c>
      <c r="J13" s="662">
        <v>30578.945254822036</v>
      </c>
      <c r="K13" s="566" t="s">
        <v>1791</v>
      </c>
      <c r="L13" s="549"/>
      <c r="M13" s="719" t="s">
        <v>10431</v>
      </c>
      <c r="O13" s="719" t="s">
        <v>4501</v>
      </c>
      <c r="S13" s="550"/>
      <c r="T13" s="547"/>
      <c r="U13" s="547"/>
      <c r="V13" s="547"/>
      <c r="W13" s="549"/>
    </row>
    <row r="14" spans="1:23">
      <c r="A14" s="565">
        <v>708</v>
      </c>
      <c r="B14" s="696" t="s">
        <v>5421</v>
      </c>
      <c r="C14" s="566">
        <f t="shared" si="0"/>
        <v>708</v>
      </c>
      <c r="D14" s="700" t="s">
        <v>2217</v>
      </c>
      <c r="E14" s="701" t="s">
        <v>7898</v>
      </c>
      <c r="F14" s="566">
        <v>1</v>
      </c>
      <c r="G14" s="662">
        <v>31102.487298920714</v>
      </c>
      <c r="H14" s="662">
        <v>0</v>
      </c>
      <c r="I14" s="662">
        <v>0</v>
      </c>
      <c r="J14" s="662">
        <v>0</v>
      </c>
      <c r="K14" s="566" t="s">
        <v>5168</v>
      </c>
      <c r="L14" s="549"/>
      <c r="M14" s="719" t="s">
        <v>2287</v>
      </c>
      <c r="O14" s="719" t="s">
        <v>2346</v>
      </c>
      <c r="S14" s="550"/>
      <c r="T14" s="547"/>
      <c r="U14" s="547"/>
      <c r="V14" s="547"/>
      <c r="W14" s="549"/>
    </row>
    <row r="15" spans="1:23">
      <c r="A15" s="565">
        <v>709</v>
      </c>
      <c r="B15" s="696" t="s">
        <v>5422</v>
      </c>
      <c r="C15" s="566">
        <f t="shared" si="0"/>
        <v>709</v>
      </c>
      <c r="D15" s="700" t="s">
        <v>2217</v>
      </c>
      <c r="E15" s="701" t="s">
        <v>7899</v>
      </c>
      <c r="F15" s="566">
        <v>1</v>
      </c>
      <c r="G15" s="662">
        <v>0</v>
      </c>
      <c r="H15" s="662">
        <v>0</v>
      </c>
      <c r="I15" s="662">
        <v>0</v>
      </c>
      <c r="J15" s="662">
        <v>47685.415179569703</v>
      </c>
      <c r="K15" s="566" t="s">
        <v>4587</v>
      </c>
      <c r="L15" s="549"/>
      <c r="M15" s="719" t="s">
        <v>4457</v>
      </c>
      <c r="O15" s="719" t="s">
        <v>2347</v>
      </c>
      <c r="S15" s="550"/>
      <c r="T15" s="547"/>
      <c r="U15" s="547"/>
      <c r="V15" s="547"/>
      <c r="W15" s="549"/>
    </row>
    <row r="16" spans="1:23">
      <c r="A16" s="565">
        <v>710</v>
      </c>
      <c r="B16" s="696" t="s">
        <v>5423</v>
      </c>
      <c r="C16" s="566">
        <f t="shared" si="0"/>
        <v>710</v>
      </c>
      <c r="D16" s="700" t="s">
        <v>2217</v>
      </c>
      <c r="E16" s="701" t="s">
        <v>7900</v>
      </c>
      <c r="F16" s="566">
        <v>1</v>
      </c>
      <c r="G16" s="662">
        <v>26580.19000261672</v>
      </c>
      <c r="H16" s="662">
        <v>27263.047197846066</v>
      </c>
      <c r="I16" s="662">
        <v>27981.856470819559</v>
      </c>
      <c r="J16" s="662">
        <v>28738.476076811829</v>
      </c>
      <c r="K16" s="566" t="s">
        <v>3853</v>
      </c>
      <c r="L16" s="549"/>
      <c r="M16" s="719" t="s">
        <v>2288</v>
      </c>
      <c r="O16" s="719"/>
      <c r="S16" s="550"/>
      <c r="T16" s="547"/>
      <c r="U16" s="547"/>
      <c r="V16" s="547"/>
      <c r="W16" s="549"/>
    </row>
    <row r="17" spans="1:23">
      <c r="A17" s="565">
        <v>711</v>
      </c>
      <c r="B17" s="696" t="s">
        <v>5424</v>
      </c>
      <c r="C17" s="566">
        <f t="shared" si="0"/>
        <v>711</v>
      </c>
      <c r="D17" s="700" t="s">
        <v>2217</v>
      </c>
      <c r="E17" s="701" t="s">
        <v>5099</v>
      </c>
      <c r="F17" s="566">
        <v>1</v>
      </c>
      <c r="G17" s="662">
        <v>22635.529586499724</v>
      </c>
      <c r="H17" s="662">
        <v>23288.757933738925</v>
      </c>
      <c r="I17" s="662">
        <v>23964.749908092512</v>
      </c>
      <c r="J17" s="662">
        <v>24687.920919141205</v>
      </c>
      <c r="K17" s="566" t="s">
        <v>1792</v>
      </c>
      <c r="L17" s="549"/>
      <c r="M17" s="719" t="s">
        <v>2289</v>
      </c>
      <c r="O17" s="719"/>
      <c r="S17" s="550"/>
      <c r="T17" s="547"/>
      <c r="U17" s="547"/>
      <c r="V17" s="547"/>
      <c r="W17" s="549"/>
    </row>
    <row r="18" spans="1:23">
      <c r="A18" s="565">
        <v>712</v>
      </c>
      <c r="B18" s="696" t="s">
        <v>5425</v>
      </c>
      <c r="C18" s="566">
        <f t="shared" si="0"/>
        <v>712</v>
      </c>
      <c r="D18" s="700" t="s">
        <v>2217</v>
      </c>
      <c r="E18" s="701" t="s">
        <v>5100</v>
      </c>
      <c r="F18" s="566">
        <v>1</v>
      </c>
      <c r="G18" s="662">
        <v>21426.387774251209</v>
      </c>
      <c r="H18" s="662">
        <v>21910.116356566221</v>
      </c>
      <c r="I18" s="662">
        <v>22419.29302992146</v>
      </c>
      <c r="J18" s="662">
        <v>22955.278527139875</v>
      </c>
      <c r="K18" s="566" t="s">
        <v>1793</v>
      </c>
      <c r="L18" s="549"/>
      <c r="M18" s="719" t="s">
        <v>2290</v>
      </c>
      <c r="O18" s="719"/>
      <c r="S18" s="550"/>
      <c r="T18" s="547"/>
      <c r="U18" s="547"/>
      <c r="V18" s="547"/>
      <c r="W18" s="549"/>
    </row>
    <row r="19" spans="1:23">
      <c r="A19" s="565">
        <v>713</v>
      </c>
      <c r="B19" s="696" t="s">
        <v>5426</v>
      </c>
      <c r="C19" s="566">
        <f t="shared" si="0"/>
        <v>713</v>
      </c>
      <c r="D19" s="700" t="s">
        <v>2217</v>
      </c>
      <c r="E19" s="701" t="s">
        <v>5101</v>
      </c>
      <c r="F19" s="566">
        <v>1</v>
      </c>
      <c r="G19" s="662">
        <v>27192.062698118516</v>
      </c>
      <c r="H19" s="662">
        <v>27787.132646860879</v>
      </c>
      <c r="I19" s="662">
        <v>28413.547195543015</v>
      </c>
      <c r="J19" s="662">
        <v>29072.929674550229</v>
      </c>
      <c r="K19" s="566" t="s">
        <v>1794</v>
      </c>
      <c r="L19" s="549"/>
      <c r="M19" s="719" t="s">
        <v>3714</v>
      </c>
      <c r="O19" s="718"/>
      <c r="S19" s="550"/>
      <c r="T19" s="547"/>
      <c r="U19" s="547"/>
      <c r="V19" s="547"/>
      <c r="W19" s="549"/>
    </row>
    <row r="20" spans="1:23">
      <c r="A20" s="565">
        <v>714</v>
      </c>
      <c r="B20" s="696" t="s">
        <v>5427</v>
      </c>
      <c r="C20" s="566">
        <f t="shared" si="0"/>
        <v>714</v>
      </c>
      <c r="D20" s="700" t="s">
        <v>2217</v>
      </c>
      <c r="E20" s="701" t="s">
        <v>7901</v>
      </c>
      <c r="F20" s="566">
        <v>1</v>
      </c>
      <c r="G20" s="662">
        <v>46193.291891367895</v>
      </c>
      <c r="H20" s="662">
        <v>0</v>
      </c>
      <c r="I20" s="662">
        <v>0</v>
      </c>
      <c r="J20" s="662">
        <v>0</v>
      </c>
      <c r="K20" s="566" t="s">
        <v>5169</v>
      </c>
      <c r="L20" s="549"/>
      <c r="M20" s="719" t="s">
        <v>2291</v>
      </c>
      <c r="O20" s="718"/>
      <c r="S20" s="550"/>
      <c r="T20" s="547"/>
      <c r="U20" s="547"/>
      <c r="V20" s="547"/>
      <c r="W20" s="549"/>
    </row>
    <row r="21" spans="1:23">
      <c r="A21" s="565">
        <v>715</v>
      </c>
      <c r="B21" s="696" t="s">
        <v>5428</v>
      </c>
      <c r="C21" s="566">
        <f t="shared" si="0"/>
        <v>715</v>
      </c>
      <c r="D21" s="700" t="s">
        <v>2978</v>
      </c>
      <c r="E21" s="701" t="s">
        <v>7902</v>
      </c>
      <c r="F21" s="566">
        <v>1</v>
      </c>
      <c r="G21" s="662">
        <v>0</v>
      </c>
      <c r="H21" s="662">
        <v>21627.149459785975</v>
      </c>
      <c r="I21" s="662">
        <v>0</v>
      </c>
      <c r="J21" s="662">
        <v>0</v>
      </c>
      <c r="K21" s="566" t="s">
        <v>3854</v>
      </c>
      <c r="L21" s="549"/>
      <c r="M21" s="719" t="s">
        <v>3764</v>
      </c>
      <c r="O21" s="718"/>
      <c r="S21" s="550"/>
      <c r="T21" s="547"/>
      <c r="U21" s="547"/>
      <c r="V21" s="547"/>
      <c r="W21" s="549"/>
    </row>
    <row r="22" spans="1:23">
      <c r="A22" s="565">
        <v>716</v>
      </c>
      <c r="B22" s="696" t="s">
        <v>5429</v>
      </c>
      <c r="C22" s="566">
        <f t="shared" si="0"/>
        <v>716</v>
      </c>
      <c r="D22" s="700" t="s">
        <v>2978</v>
      </c>
      <c r="E22" s="701" t="s">
        <v>7903</v>
      </c>
      <c r="F22" s="566">
        <v>1</v>
      </c>
      <c r="G22" s="662">
        <v>0</v>
      </c>
      <c r="H22" s="662">
        <v>17755.537771701031</v>
      </c>
      <c r="I22" s="662">
        <v>0</v>
      </c>
      <c r="J22" s="662">
        <v>0</v>
      </c>
      <c r="K22" s="566" t="s">
        <v>3855</v>
      </c>
      <c r="L22" s="549"/>
      <c r="M22" s="719" t="s">
        <v>2293</v>
      </c>
      <c r="O22" s="718"/>
      <c r="S22" s="550"/>
      <c r="T22" s="547"/>
      <c r="U22" s="547"/>
      <c r="V22" s="547"/>
      <c r="W22" s="549"/>
    </row>
    <row r="23" spans="1:23">
      <c r="A23" s="565">
        <v>717</v>
      </c>
      <c r="B23" s="696" t="s">
        <v>5430</v>
      </c>
      <c r="C23" s="566">
        <f t="shared" si="0"/>
        <v>717</v>
      </c>
      <c r="D23" s="700" t="s">
        <v>2978</v>
      </c>
      <c r="E23" s="701" t="s">
        <v>7904</v>
      </c>
      <c r="F23" s="566">
        <v>1</v>
      </c>
      <c r="G23" s="662">
        <v>0</v>
      </c>
      <c r="H23" s="662">
        <v>20635.704109829985</v>
      </c>
      <c r="I23" s="662">
        <v>21206.382596713353</v>
      </c>
      <c r="J23" s="662">
        <v>21807.127224749645</v>
      </c>
      <c r="K23" s="566" t="s">
        <v>3856</v>
      </c>
      <c r="L23" s="549"/>
      <c r="M23" s="719" t="s">
        <v>2228</v>
      </c>
      <c r="O23" s="718"/>
      <c r="S23" s="550"/>
      <c r="T23" s="547"/>
      <c r="U23" s="547"/>
      <c r="V23" s="547"/>
      <c r="W23" s="549"/>
    </row>
    <row r="24" spans="1:23">
      <c r="A24" s="565">
        <v>718</v>
      </c>
      <c r="B24" s="696" t="s">
        <v>5431</v>
      </c>
      <c r="C24" s="566">
        <f t="shared" si="0"/>
        <v>718</v>
      </c>
      <c r="D24" s="700" t="s">
        <v>2978</v>
      </c>
      <c r="E24" s="701" t="s">
        <v>7905</v>
      </c>
      <c r="F24" s="566">
        <v>1</v>
      </c>
      <c r="G24" s="662">
        <v>0</v>
      </c>
      <c r="H24" s="662">
        <v>19618.000799608712</v>
      </c>
      <c r="I24" s="662">
        <v>20180.006361159507</v>
      </c>
      <c r="J24" s="662">
        <v>20771.621594108878</v>
      </c>
      <c r="K24" s="566" t="s">
        <v>2979</v>
      </c>
      <c r="L24" s="549"/>
      <c r="M24" s="719" t="s">
        <v>2292</v>
      </c>
      <c r="O24" s="717"/>
      <c r="S24" s="550"/>
      <c r="T24" s="547"/>
      <c r="U24" s="547"/>
      <c r="V24" s="547"/>
      <c r="W24" s="549"/>
    </row>
    <row r="25" spans="1:23">
      <c r="A25" s="565">
        <v>719</v>
      </c>
      <c r="B25" s="696" t="s">
        <v>5432</v>
      </c>
      <c r="C25" s="566">
        <f t="shared" si="0"/>
        <v>719</v>
      </c>
      <c r="D25" s="700" t="s">
        <v>2218</v>
      </c>
      <c r="E25" s="701" t="s">
        <v>7906</v>
      </c>
      <c r="F25" s="566">
        <v>1</v>
      </c>
      <c r="G25" s="662">
        <v>0</v>
      </c>
      <c r="H25" s="662">
        <v>32754.946071601327</v>
      </c>
      <c r="I25" s="662">
        <v>34913.050105402355</v>
      </c>
      <c r="J25" s="662">
        <v>36048.885607866105</v>
      </c>
      <c r="K25" s="566" t="s">
        <v>2980</v>
      </c>
      <c r="L25" s="549"/>
      <c r="M25" s="719" t="s">
        <v>2294</v>
      </c>
      <c r="O25" s="717"/>
      <c r="S25" s="550"/>
      <c r="T25" s="547"/>
      <c r="U25" s="547"/>
      <c r="V25" s="547"/>
      <c r="W25" s="549"/>
    </row>
    <row r="26" spans="1:23">
      <c r="A26" s="565">
        <v>720</v>
      </c>
      <c r="B26" s="696" t="s">
        <v>5433</v>
      </c>
      <c r="C26" s="566">
        <f t="shared" si="0"/>
        <v>720</v>
      </c>
      <c r="D26" s="700" t="s">
        <v>2218</v>
      </c>
      <c r="E26" s="701" t="s">
        <v>7907</v>
      </c>
      <c r="F26" s="566">
        <v>1</v>
      </c>
      <c r="G26" s="662">
        <v>0</v>
      </c>
      <c r="H26" s="662">
        <v>27521.592634500652</v>
      </c>
      <c r="I26" s="662">
        <v>28400.064932810579</v>
      </c>
      <c r="J26" s="662">
        <v>29324.79297556472</v>
      </c>
      <c r="K26" s="566" t="s">
        <v>2981</v>
      </c>
      <c r="L26" s="549"/>
      <c r="M26" s="719" t="s">
        <v>2295</v>
      </c>
      <c r="O26" s="716"/>
      <c r="S26" s="550"/>
      <c r="T26" s="547"/>
      <c r="U26" s="547"/>
      <c r="V26" s="547"/>
      <c r="W26" s="549"/>
    </row>
    <row r="27" spans="1:23">
      <c r="A27" s="565">
        <v>721</v>
      </c>
      <c r="B27" s="696" t="s">
        <v>5434</v>
      </c>
      <c r="C27" s="566">
        <f t="shared" si="0"/>
        <v>721</v>
      </c>
      <c r="D27" s="700" t="s">
        <v>2218</v>
      </c>
      <c r="E27" s="701" t="s">
        <v>7908</v>
      </c>
      <c r="F27" s="566">
        <v>1</v>
      </c>
      <c r="G27" s="662">
        <v>0</v>
      </c>
      <c r="H27" s="662">
        <v>30315.984638479484</v>
      </c>
      <c r="I27" s="662">
        <v>31291.792949560753</v>
      </c>
      <c r="J27" s="662">
        <v>0</v>
      </c>
      <c r="K27" s="566" t="s">
        <v>4588</v>
      </c>
      <c r="L27" s="549"/>
      <c r="M27" s="719" t="s">
        <v>4300</v>
      </c>
      <c r="O27" s="716"/>
      <c r="S27" s="550"/>
      <c r="T27" s="547"/>
      <c r="U27" s="547"/>
      <c r="V27" s="547"/>
      <c r="W27" s="549"/>
    </row>
    <row r="28" spans="1:23">
      <c r="A28" s="565">
        <v>722</v>
      </c>
      <c r="B28" s="696" t="s">
        <v>5435</v>
      </c>
      <c r="C28" s="566">
        <f t="shared" si="0"/>
        <v>722</v>
      </c>
      <c r="D28" s="700" t="s">
        <v>2218</v>
      </c>
      <c r="E28" s="701" t="s">
        <v>7909</v>
      </c>
      <c r="F28" s="566">
        <v>1</v>
      </c>
      <c r="G28" s="662">
        <v>21641.511513193294</v>
      </c>
      <c r="H28" s="662">
        <v>22352.755755722788</v>
      </c>
      <c r="I28" s="662">
        <v>23063.999998252275</v>
      </c>
      <c r="J28" s="662">
        <v>23812.657787960667</v>
      </c>
      <c r="K28" s="566" t="s">
        <v>1795</v>
      </c>
      <c r="L28" s="549"/>
      <c r="M28" s="719" t="s">
        <v>304</v>
      </c>
      <c r="O28" s="716"/>
      <c r="S28" s="550"/>
      <c r="T28" s="547"/>
      <c r="U28" s="547"/>
      <c r="V28" s="547"/>
      <c r="W28" s="549"/>
    </row>
    <row r="29" spans="1:23">
      <c r="A29" s="565">
        <v>723</v>
      </c>
      <c r="B29" s="696" t="s">
        <v>5436</v>
      </c>
      <c r="C29" s="566">
        <f t="shared" si="0"/>
        <v>723</v>
      </c>
      <c r="D29" s="700" t="s">
        <v>2218</v>
      </c>
      <c r="E29" s="701" t="s">
        <v>7910</v>
      </c>
      <c r="F29" s="566">
        <v>1</v>
      </c>
      <c r="G29" s="662">
        <v>21359.538313642111</v>
      </c>
      <c r="H29" s="662">
        <v>22023.532064535026</v>
      </c>
      <c r="I29" s="662">
        <v>22722.452494625966</v>
      </c>
      <c r="J29" s="662">
        <v>23458.178570833828</v>
      </c>
      <c r="K29" s="566" t="s">
        <v>4589</v>
      </c>
      <c r="L29" s="549"/>
      <c r="M29" s="719" t="s">
        <v>3772</v>
      </c>
      <c r="O29" s="716"/>
      <c r="S29" s="550"/>
      <c r="T29" s="547"/>
      <c r="U29" s="547"/>
      <c r="V29" s="547"/>
      <c r="W29" s="549"/>
    </row>
    <row r="30" spans="1:23">
      <c r="A30" s="565">
        <v>724</v>
      </c>
      <c r="B30" s="696" t="s">
        <v>5437</v>
      </c>
      <c r="C30" s="566">
        <f t="shared" si="0"/>
        <v>724</v>
      </c>
      <c r="D30" s="700" t="s">
        <v>2218</v>
      </c>
      <c r="E30" s="701" t="s">
        <v>7911</v>
      </c>
      <c r="F30" s="566">
        <v>1</v>
      </c>
      <c r="G30" s="662">
        <v>23205.522860037192</v>
      </c>
      <c r="H30" s="662">
        <v>23974.241384791294</v>
      </c>
      <c r="I30" s="662">
        <v>24742.959909545385</v>
      </c>
      <c r="J30" s="662">
        <v>25552.131486788337</v>
      </c>
      <c r="K30" s="566" t="s">
        <v>1796</v>
      </c>
      <c r="L30" s="549"/>
      <c r="M30" s="719" t="s">
        <v>2296</v>
      </c>
      <c r="O30" s="716"/>
      <c r="S30" s="550"/>
      <c r="T30" s="547"/>
      <c r="U30" s="547"/>
      <c r="V30" s="547"/>
      <c r="W30" s="549"/>
    </row>
    <row r="31" spans="1:23">
      <c r="A31" s="565">
        <v>725</v>
      </c>
      <c r="B31" s="696" t="s">
        <v>5438</v>
      </c>
      <c r="C31" s="566">
        <f t="shared" si="0"/>
        <v>725</v>
      </c>
      <c r="D31" s="700" t="s">
        <v>2218</v>
      </c>
      <c r="E31" s="701" t="s">
        <v>7912</v>
      </c>
      <c r="F31" s="566">
        <v>1</v>
      </c>
      <c r="G31" s="662">
        <v>22807.000738004852</v>
      </c>
      <c r="H31" s="662">
        <v>23521.395013310117</v>
      </c>
      <c r="I31" s="662">
        <v>24273.368626993008</v>
      </c>
      <c r="J31" s="662">
        <v>25064.911073438219</v>
      </c>
      <c r="K31" s="566" t="s">
        <v>4590</v>
      </c>
      <c r="L31" s="549"/>
      <c r="M31" s="719" t="s">
        <v>2297</v>
      </c>
      <c r="O31" s="716"/>
      <c r="S31" s="550"/>
      <c r="T31" s="547"/>
      <c r="U31" s="547"/>
      <c r="V31" s="547"/>
      <c r="W31" s="549"/>
    </row>
    <row r="32" spans="1:23">
      <c r="A32" s="565">
        <v>726</v>
      </c>
      <c r="B32" s="696" t="s">
        <v>5439</v>
      </c>
      <c r="C32" s="566">
        <f t="shared" si="0"/>
        <v>726</v>
      </c>
      <c r="D32" s="700" t="s">
        <v>2218</v>
      </c>
      <c r="E32" s="701" t="s">
        <v>7913</v>
      </c>
      <c r="F32" s="566">
        <v>1</v>
      </c>
      <c r="G32" s="662">
        <v>26040.293426191765</v>
      </c>
      <c r="H32" s="662">
        <v>26913.184087477959</v>
      </c>
      <c r="I32" s="662">
        <v>27786.074748764149</v>
      </c>
      <c r="J32" s="662">
        <v>28704.889572097109</v>
      </c>
      <c r="K32" s="566" t="s">
        <v>1797</v>
      </c>
      <c r="L32" s="549"/>
      <c r="M32" s="719" t="s">
        <v>2298</v>
      </c>
      <c r="O32" s="716"/>
      <c r="S32" s="550"/>
      <c r="T32" s="547"/>
      <c r="U32" s="547"/>
      <c r="V32" s="547"/>
      <c r="W32" s="549"/>
    </row>
    <row r="33" spans="1:23">
      <c r="A33" s="565">
        <v>727</v>
      </c>
      <c r="B33" s="696" t="s">
        <v>5440</v>
      </c>
      <c r="C33" s="566">
        <f t="shared" si="0"/>
        <v>727</v>
      </c>
      <c r="D33" s="700" t="s">
        <v>2218</v>
      </c>
      <c r="E33" s="701" t="s">
        <v>7914</v>
      </c>
      <c r="F33" s="566">
        <v>1</v>
      </c>
      <c r="G33" s="662">
        <v>25419.952387179161</v>
      </c>
      <c r="H33" s="662">
        <v>26225.310766851435</v>
      </c>
      <c r="I33" s="662">
        <v>27073.056429664368</v>
      </c>
      <c r="J33" s="662">
        <v>27965.399924934271</v>
      </c>
      <c r="K33" s="566" t="s">
        <v>4591</v>
      </c>
      <c r="L33" s="549"/>
      <c r="M33" s="719" t="s">
        <v>4337</v>
      </c>
      <c r="O33" s="716"/>
      <c r="S33" s="550"/>
      <c r="T33" s="547"/>
      <c r="U33" s="547"/>
      <c r="V33" s="547"/>
      <c r="W33" s="549"/>
    </row>
    <row r="34" spans="1:23">
      <c r="A34" s="565">
        <v>728</v>
      </c>
      <c r="B34" s="696" t="s">
        <v>5441</v>
      </c>
      <c r="C34" s="566">
        <f t="shared" si="0"/>
        <v>728</v>
      </c>
      <c r="D34" s="700" t="s">
        <v>2218</v>
      </c>
      <c r="E34" s="701" t="s">
        <v>7915</v>
      </c>
      <c r="F34" s="566">
        <v>1</v>
      </c>
      <c r="G34" s="662">
        <v>27604.30477303567</v>
      </c>
      <c r="H34" s="662">
        <v>28534.669716546465</v>
      </c>
      <c r="I34" s="662">
        <v>29465.034660057256</v>
      </c>
      <c r="J34" s="662">
        <v>30444.363270924787</v>
      </c>
      <c r="K34" s="566" t="s">
        <v>1798</v>
      </c>
      <c r="L34" s="549"/>
      <c r="M34" s="719" t="s">
        <v>10382</v>
      </c>
      <c r="O34" s="716"/>
      <c r="S34" s="550"/>
      <c r="T34" s="547"/>
      <c r="U34" s="547"/>
      <c r="V34" s="547"/>
      <c r="W34" s="549"/>
    </row>
    <row r="35" spans="1:23">
      <c r="A35" s="565">
        <v>729</v>
      </c>
      <c r="B35" s="696" t="s">
        <v>5442</v>
      </c>
      <c r="C35" s="566">
        <f t="shared" si="0"/>
        <v>729</v>
      </c>
      <c r="D35" s="700" t="s">
        <v>2218</v>
      </c>
      <c r="E35" s="701" t="s">
        <v>7916</v>
      </c>
      <c r="F35" s="566">
        <v>1</v>
      </c>
      <c r="G35" s="662">
        <v>26867.414811541901</v>
      </c>
      <c r="H35" s="662">
        <v>27723.17371562653</v>
      </c>
      <c r="I35" s="662">
        <v>28623.972562031391</v>
      </c>
      <c r="J35" s="662">
        <v>29572.187691271563</v>
      </c>
      <c r="K35" s="566" t="s">
        <v>4592</v>
      </c>
      <c r="L35" s="549"/>
      <c r="M35" s="719" t="s">
        <v>2299</v>
      </c>
      <c r="O35" s="716"/>
      <c r="S35" s="550"/>
      <c r="T35" s="547"/>
      <c r="U35" s="547"/>
      <c r="V35" s="547"/>
      <c r="W35" s="549"/>
    </row>
    <row r="36" spans="1:23">
      <c r="A36" s="565">
        <v>730</v>
      </c>
      <c r="B36" s="696" t="s">
        <v>5443</v>
      </c>
      <c r="C36" s="566">
        <f t="shared" si="0"/>
        <v>730</v>
      </c>
      <c r="D36" s="700" t="s">
        <v>2218</v>
      </c>
      <c r="E36" s="701" t="s">
        <v>7917</v>
      </c>
      <c r="F36" s="566">
        <v>1</v>
      </c>
      <c r="G36" s="662">
        <v>29070.565410701816</v>
      </c>
      <c r="H36" s="662">
        <v>30054.812493798185</v>
      </c>
      <c r="I36" s="662">
        <v>0</v>
      </c>
      <c r="J36" s="662">
        <v>0</v>
      </c>
      <c r="K36" s="566" t="s">
        <v>1799</v>
      </c>
      <c r="L36" s="549"/>
      <c r="M36" s="719" t="s">
        <v>3409</v>
      </c>
      <c r="O36" s="716"/>
      <c r="S36" s="550"/>
      <c r="T36" s="547"/>
      <c r="U36" s="547"/>
      <c r="V36" s="547"/>
      <c r="W36" s="549"/>
    </row>
    <row r="37" spans="1:23">
      <c r="A37" s="565">
        <v>731</v>
      </c>
      <c r="B37" s="696" t="s">
        <v>5444</v>
      </c>
      <c r="C37" s="566">
        <f t="shared" si="0"/>
        <v>731</v>
      </c>
      <c r="D37" s="700" t="s">
        <v>2218</v>
      </c>
      <c r="E37" s="701" t="s">
        <v>7918</v>
      </c>
      <c r="F37" s="566">
        <v>1</v>
      </c>
      <c r="G37" s="662">
        <v>28126.895102870523</v>
      </c>
      <c r="H37" s="662">
        <v>29026.478147151407</v>
      </c>
      <c r="I37" s="662">
        <v>29973.422210534678</v>
      </c>
      <c r="J37" s="662">
        <v>30970.214161001233</v>
      </c>
      <c r="K37" s="566" t="s">
        <v>4593</v>
      </c>
      <c r="L37" s="549"/>
      <c r="M37" s="719" t="s">
        <v>2300</v>
      </c>
      <c r="O37" s="716"/>
      <c r="S37" s="550"/>
      <c r="T37" s="547"/>
      <c r="U37" s="547"/>
      <c r="V37" s="547"/>
      <c r="W37" s="549"/>
    </row>
    <row r="38" spans="1:23">
      <c r="A38" s="565">
        <v>732</v>
      </c>
      <c r="B38" s="696" t="s">
        <v>5445</v>
      </c>
      <c r="C38" s="566">
        <f t="shared" si="0"/>
        <v>732</v>
      </c>
      <c r="D38" s="700" t="s">
        <v>2218</v>
      </c>
      <c r="E38" s="701" t="s">
        <v>7919</v>
      </c>
      <c r="F38" s="566">
        <v>1</v>
      </c>
      <c r="G38" s="662">
        <v>30634.576757545725</v>
      </c>
      <c r="H38" s="662">
        <v>31676.298122866683</v>
      </c>
      <c r="I38" s="662">
        <v>32718.01948818766</v>
      </c>
      <c r="J38" s="662">
        <v>33814.562476553641</v>
      </c>
      <c r="K38" s="566" t="s">
        <v>1800</v>
      </c>
      <c r="L38" s="549"/>
      <c r="M38" s="719" t="s">
        <v>4412</v>
      </c>
      <c r="O38" s="716"/>
      <c r="S38" s="550"/>
      <c r="T38" s="547"/>
      <c r="U38" s="547"/>
      <c r="V38" s="547"/>
      <c r="W38" s="549"/>
    </row>
    <row r="39" spans="1:23">
      <c r="A39" s="565">
        <v>733</v>
      </c>
      <c r="B39" s="696" t="s">
        <v>5446</v>
      </c>
      <c r="C39" s="566">
        <f t="shared" si="0"/>
        <v>733</v>
      </c>
      <c r="D39" s="700" t="s">
        <v>2218</v>
      </c>
      <c r="E39" s="701" t="s">
        <v>7920</v>
      </c>
      <c r="F39" s="566">
        <v>1</v>
      </c>
      <c r="G39" s="662">
        <v>29574.35752723326</v>
      </c>
      <c r="H39" s="662">
        <v>30524.341095926502</v>
      </c>
      <c r="I39" s="662">
        <v>31524.338342901723</v>
      </c>
      <c r="J39" s="662">
        <v>32576.94666360562</v>
      </c>
      <c r="K39" s="566" t="s">
        <v>4594</v>
      </c>
      <c r="L39" s="549"/>
      <c r="M39" s="719" t="s">
        <v>2301</v>
      </c>
      <c r="O39" s="716"/>
      <c r="S39" s="550"/>
      <c r="T39" s="547"/>
      <c r="U39" s="547"/>
      <c r="V39" s="547"/>
      <c r="W39" s="549"/>
    </row>
    <row r="40" spans="1:23">
      <c r="A40" s="565">
        <v>734</v>
      </c>
      <c r="B40" s="696" t="s">
        <v>5447</v>
      </c>
      <c r="C40" s="566">
        <f t="shared" si="0"/>
        <v>734</v>
      </c>
      <c r="D40" s="700" t="s">
        <v>2218</v>
      </c>
      <c r="E40" s="701" t="s">
        <v>7921</v>
      </c>
      <c r="F40" s="566">
        <v>1</v>
      </c>
      <c r="G40" s="662">
        <v>29070.565410701816</v>
      </c>
      <c r="H40" s="662">
        <v>30054.812493798185</v>
      </c>
      <c r="I40" s="662">
        <v>0</v>
      </c>
      <c r="J40" s="662">
        <v>0</v>
      </c>
      <c r="K40" s="566" t="s">
        <v>1801</v>
      </c>
      <c r="L40" s="549"/>
      <c r="M40" s="719" t="s">
        <v>2302</v>
      </c>
      <c r="O40" s="716"/>
      <c r="S40" s="550"/>
      <c r="T40" s="547" t="s">
        <v>3746</v>
      </c>
      <c r="U40" s="547"/>
      <c r="V40" s="547"/>
      <c r="W40" s="549"/>
    </row>
    <row r="41" spans="1:23">
      <c r="A41" s="565">
        <v>735</v>
      </c>
      <c r="B41" s="696" t="s">
        <v>5448</v>
      </c>
      <c r="C41" s="566">
        <f t="shared" si="0"/>
        <v>735</v>
      </c>
      <c r="D41" s="700" t="s">
        <v>2218</v>
      </c>
      <c r="E41" s="701" t="s">
        <v>7922</v>
      </c>
      <c r="F41" s="566">
        <v>1</v>
      </c>
      <c r="G41" s="662">
        <v>28217.126526726912</v>
      </c>
      <c r="H41" s="662">
        <v>29119.859603783563</v>
      </c>
      <c r="I41" s="662">
        <v>0</v>
      </c>
      <c r="J41" s="662">
        <v>0</v>
      </c>
      <c r="K41" s="566" t="s">
        <v>4595</v>
      </c>
      <c r="L41" s="549"/>
      <c r="M41" s="719" t="s">
        <v>2303</v>
      </c>
      <c r="O41" s="716"/>
      <c r="S41" s="550"/>
      <c r="T41" s="547"/>
      <c r="U41" s="547"/>
      <c r="V41" s="547"/>
      <c r="W41" s="549"/>
    </row>
    <row r="42" spans="1:23">
      <c r="A42" s="565">
        <v>736</v>
      </c>
      <c r="B42" s="696" t="s">
        <v>5449</v>
      </c>
      <c r="C42" s="566">
        <f t="shared" si="0"/>
        <v>736</v>
      </c>
      <c r="D42" s="700" t="s">
        <v>2218</v>
      </c>
      <c r="E42" s="701" t="s">
        <v>7923</v>
      </c>
      <c r="F42" s="566">
        <v>1</v>
      </c>
      <c r="G42" s="662">
        <v>30634.576757545725</v>
      </c>
      <c r="H42" s="662">
        <v>31676.298122866683</v>
      </c>
      <c r="I42" s="662">
        <v>0</v>
      </c>
      <c r="J42" s="662">
        <v>0</v>
      </c>
      <c r="K42" s="566" t="s">
        <v>1802</v>
      </c>
      <c r="L42" s="549"/>
      <c r="M42" s="719" t="s">
        <v>2304</v>
      </c>
      <c r="O42" s="716"/>
      <c r="S42" s="550"/>
      <c r="T42" s="547"/>
      <c r="U42" s="547"/>
      <c r="V42" s="547"/>
      <c r="W42" s="549"/>
    </row>
    <row r="43" spans="1:23">
      <c r="A43" s="565">
        <v>737</v>
      </c>
      <c r="B43" s="696" t="s">
        <v>5450</v>
      </c>
      <c r="C43" s="566">
        <f t="shared" si="0"/>
        <v>737</v>
      </c>
      <c r="D43" s="700" t="s">
        <v>2218</v>
      </c>
      <c r="E43" s="701" t="s">
        <v>7924</v>
      </c>
      <c r="F43" s="566">
        <v>1</v>
      </c>
      <c r="G43" s="662">
        <v>29664.588951089641</v>
      </c>
      <c r="H43" s="662">
        <v>30617.722552558655</v>
      </c>
      <c r="I43" s="662">
        <v>0</v>
      </c>
      <c r="J43" s="662">
        <v>0</v>
      </c>
      <c r="K43" s="566" t="s">
        <v>4596</v>
      </c>
      <c r="L43" s="549"/>
      <c r="M43" s="719" t="s">
        <v>2305</v>
      </c>
      <c r="O43" s="716"/>
      <c r="S43" s="550"/>
      <c r="T43" s="547"/>
      <c r="U43" s="547"/>
      <c r="V43" s="547"/>
      <c r="W43" s="549"/>
    </row>
    <row r="44" spans="1:23">
      <c r="A44" s="565">
        <v>738</v>
      </c>
      <c r="B44" s="696" t="s">
        <v>5451</v>
      </c>
      <c r="C44" s="566">
        <f t="shared" si="0"/>
        <v>738</v>
      </c>
      <c r="D44" s="700" t="s">
        <v>2218</v>
      </c>
      <c r="E44" s="701" t="s">
        <v>7925</v>
      </c>
      <c r="F44" s="566">
        <v>1</v>
      </c>
      <c r="G44" s="662">
        <v>0</v>
      </c>
      <c r="H44" s="662">
        <v>0</v>
      </c>
      <c r="I44" s="662">
        <v>36191.328610034383</v>
      </c>
      <c r="J44" s="662">
        <v>37371.651417489309</v>
      </c>
      <c r="K44" s="566" t="s">
        <v>3857</v>
      </c>
      <c r="L44" s="549"/>
      <c r="M44" s="719" t="s">
        <v>2306</v>
      </c>
      <c r="O44" s="716"/>
      <c r="S44" s="550"/>
      <c r="T44" s="547"/>
      <c r="U44" s="547"/>
      <c r="V44" s="547"/>
      <c r="W44" s="549"/>
    </row>
    <row r="45" spans="1:23">
      <c r="A45" s="565">
        <v>739</v>
      </c>
      <c r="B45" s="696" t="s">
        <v>5452</v>
      </c>
      <c r="C45" s="566">
        <f t="shared" si="0"/>
        <v>739</v>
      </c>
      <c r="D45" s="700" t="s">
        <v>2218</v>
      </c>
      <c r="E45" s="701" t="s">
        <v>7926</v>
      </c>
      <c r="F45" s="566">
        <v>1</v>
      </c>
      <c r="G45" s="662">
        <v>0</v>
      </c>
      <c r="H45" s="662">
        <v>0</v>
      </c>
      <c r="I45" s="662">
        <v>36191.328610034383</v>
      </c>
      <c r="J45" s="662">
        <v>37371.651417489309</v>
      </c>
      <c r="K45" s="566" t="s">
        <v>3858</v>
      </c>
      <c r="L45" s="549"/>
      <c r="M45" s="719" t="s">
        <v>2307</v>
      </c>
      <c r="O45" s="716"/>
      <c r="S45" s="550"/>
      <c r="T45" s="547"/>
      <c r="U45" s="547"/>
      <c r="V45" s="547"/>
      <c r="W45" s="549"/>
    </row>
    <row r="46" spans="1:23">
      <c r="A46" s="565">
        <v>740</v>
      </c>
      <c r="B46" s="696" t="s">
        <v>5453</v>
      </c>
      <c r="C46" s="566">
        <f t="shared" si="0"/>
        <v>740</v>
      </c>
      <c r="D46" s="700" t="s">
        <v>2218</v>
      </c>
      <c r="E46" s="701" t="s">
        <v>7927</v>
      </c>
      <c r="F46" s="566">
        <v>1</v>
      </c>
      <c r="G46" s="662">
        <v>0</v>
      </c>
      <c r="H46" s="662">
        <v>0</v>
      </c>
      <c r="I46" s="662">
        <v>25505.187924483696</v>
      </c>
      <c r="J46" s="662">
        <v>26313.530545733021</v>
      </c>
      <c r="K46" s="566" t="s">
        <v>3859</v>
      </c>
      <c r="L46" s="549"/>
      <c r="M46" s="719" t="s">
        <v>2308</v>
      </c>
      <c r="O46" s="716"/>
      <c r="S46" s="550"/>
      <c r="T46" s="547"/>
      <c r="U46" s="547"/>
      <c r="V46" s="547"/>
      <c r="W46" s="549"/>
    </row>
    <row r="47" spans="1:23">
      <c r="A47" s="565">
        <v>741</v>
      </c>
      <c r="B47" s="696" t="s">
        <v>5454</v>
      </c>
      <c r="C47" s="566">
        <f t="shared" si="0"/>
        <v>741</v>
      </c>
      <c r="D47" s="700" t="s">
        <v>2218</v>
      </c>
      <c r="E47" s="701" t="s">
        <v>7928</v>
      </c>
      <c r="F47" s="566">
        <v>1</v>
      </c>
      <c r="G47" s="662">
        <v>0</v>
      </c>
      <c r="H47" s="662">
        <v>0</v>
      </c>
      <c r="I47" s="662">
        <v>24077.008028783388</v>
      </c>
      <c r="J47" s="662">
        <v>24835.613290415273</v>
      </c>
      <c r="K47" s="566" t="s">
        <v>3860</v>
      </c>
      <c r="L47" s="549"/>
      <c r="M47" s="719" t="s">
        <v>2309</v>
      </c>
      <c r="O47" s="716"/>
      <c r="S47" s="550"/>
      <c r="T47" s="547"/>
      <c r="U47" s="547"/>
      <c r="V47" s="547"/>
      <c r="W47" s="549"/>
    </row>
    <row r="48" spans="1:23">
      <c r="A48" s="565">
        <v>742</v>
      </c>
      <c r="B48" s="696" t="s">
        <v>5455</v>
      </c>
      <c r="C48" s="566">
        <f t="shared" si="0"/>
        <v>742</v>
      </c>
      <c r="D48" s="700" t="s">
        <v>2218</v>
      </c>
      <c r="E48" s="701" t="s">
        <v>7929</v>
      </c>
      <c r="F48" s="566">
        <v>1</v>
      </c>
      <c r="G48" s="662">
        <v>0</v>
      </c>
      <c r="H48" s="662">
        <v>0</v>
      </c>
      <c r="I48" s="662">
        <v>26265.871985832717</v>
      </c>
      <c r="J48" s="662">
        <v>27100.685935145102</v>
      </c>
      <c r="K48" s="566" t="s">
        <v>4597</v>
      </c>
      <c r="L48" s="549"/>
      <c r="M48" s="719" t="s">
        <v>550</v>
      </c>
      <c r="O48" s="716"/>
      <c r="S48" s="550"/>
      <c r="T48" s="547"/>
      <c r="U48" s="547"/>
      <c r="V48" s="547"/>
      <c r="W48" s="549"/>
    </row>
    <row r="49" spans="1:23">
      <c r="A49" s="565">
        <v>743</v>
      </c>
      <c r="B49" s="696" t="s">
        <v>5456</v>
      </c>
      <c r="C49" s="566">
        <f t="shared" si="0"/>
        <v>743</v>
      </c>
      <c r="D49" s="700" t="s">
        <v>2218</v>
      </c>
      <c r="E49" s="701" t="s">
        <v>7930</v>
      </c>
      <c r="F49" s="566">
        <v>1</v>
      </c>
      <c r="G49" s="662">
        <v>0</v>
      </c>
      <c r="H49" s="662">
        <v>0</v>
      </c>
      <c r="I49" s="662">
        <v>24701.860638988812</v>
      </c>
      <c r="J49" s="662">
        <v>25482.239811386557</v>
      </c>
      <c r="K49" s="566" t="s">
        <v>4598</v>
      </c>
      <c r="L49" s="549"/>
      <c r="M49" s="719" t="s">
        <v>2310</v>
      </c>
      <c r="O49" s="716"/>
      <c r="S49" s="550"/>
      <c r="T49" s="547"/>
      <c r="U49" s="547"/>
      <c r="V49" s="547"/>
      <c r="W49" s="549"/>
    </row>
    <row r="50" spans="1:23">
      <c r="A50" s="565">
        <v>744</v>
      </c>
      <c r="B50" s="696" t="s">
        <v>5457</v>
      </c>
      <c r="C50" s="566">
        <f t="shared" si="0"/>
        <v>744</v>
      </c>
      <c r="D50" s="700" t="s">
        <v>2218</v>
      </c>
      <c r="E50" s="701" t="s">
        <v>7931</v>
      </c>
      <c r="F50" s="566">
        <v>1</v>
      </c>
      <c r="G50" s="662">
        <v>0</v>
      </c>
      <c r="H50" s="662">
        <v>0</v>
      </c>
      <c r="I50" s="662">
        <v>29018.359465078382</v>
      </c>
      <c r="J50" s="662">
        <v>29949.000727253719</v>
      </c>
      <c r="K50" s="566" t="s">
        <v>3861</v>
      </c>
      <c r="L50" s="549"/>
      <c r="M50" s="719" t="s">
        <v>2311</v>
      </c>
      <c r="O50" s="716"/>
      <c r="S50" s="550"/>
      <c r="T50" s="547"/>
      <c r="U50" s="547"/>
      <c r="V50" s="547"/>
      <c r="W50" s="549"/>
    </row>
    <row r="51" spans="1:23">
      <c r="A51" s="565">
        <v>745</v>
      </c>
      <c r="B51" s="696" t="s">
        <v>5458</v>
      </c>
      <c r="C51" s="566">
        <f t="shared" si="0"/>
        <v>745</v>
      </c>
      <c r="D51" s="700" t="s">
        <v>2218</v>
      </c>
      <c r="E51" s="701" t="s">
        <v>7932</v>
      </c>
      <c r="F51" s="566">
        <v>1</v>
      </c>
      <c r="G51" s="662">
        <v>0</v>
      </c>
      <c r="H51" s="662">
        <v>0</v>
      </c>
      <c r="I51" s="662">
        <v>29442.770034109381</v>
      </c>
      <c r="J51" s="662">
        <v>30388.166712971226</v>
      </c>
      <c r="K51" s="566" t="s">
        <v>3862</v>
      </c>
      <c r="L51" s="549"/>
      <c r="M51" s="719" t="s">
        <v>2312</v>
      </c>
      <c r="O51" s="716"/>
      <c r="S51" s="550"/>
      <c r="T51" s="547"/>
      <c r="U51" s="547"/>
      <c r="V51" s="547"/>
      <c r="W51" s="549"/>
    </row>
    <row r="52" spans="1:23">
      <c r="A52" s="565">
        <v>746</v>
      </c>
      <c r="B52" s="696" t="s">
        <v>5459</v>
      </c>
      <c r="C52" s="566">
        <f t="shared" si="0"/>
        <v>746</v>
      </c>
      <c r="D52" s="700" t="s">
        <v>2218</v>
      </c>
      <c r="E52" s="701" t="s">
        <v>7933</v>
      </c>
      <c r="F52" s="566">
        <v>1</v>
      </c>
      <c r="G52" s="662">
        <v>0</v>
      </c>
      <c r="H52" s="662">
        <v>0</v>
      </c>
      <c r="I52" s="662">
        <v>30608.259258920934</v>
      </c>
      <c r="J52" s="662">
        <v>31594.219517737467</v>
      </c>
      <c r="K52" s="566" t="s">
        <v>4599</v>
      </c>
      <c r="L52" s="549"/>
      <c r="M52" s="719" t="s">
        <v>2313</v>
      </c>
      <c r="O52" s="716"/>
      <c r="S52" s="550"/>
      <c r="T52" s="547"/>
      <c r="U52" s="547"/>
      <c r="V52" s="547"/>
      <c r="W52" s="549"/>
    </row>
    <row r="53" spans="1:23">
      <c r="A53" s="565">
        <v>747</v>
      </c>
      <c r="B53" s="696" t="s">
        <v>5460</v>
      </c>
      <c r="C53" s="566">
        <f t="shared" si="0"/>
        <v>747</v>
      </c>
      <c r="D53" s="700" t="s">
        <v>2218</v>
      </c>
      <c r="E53" s="701" t="s">
        <v>7934</v>
      </c>
      <c r="F53" s="566">
        <v>1</v>
      </c>
      <c r="G53" s="662">
        <v>0</v>
      </c>
      <c r="H53" s="662">
        <v>0</v>
      </c>
      <c r="I53" s="662">
        <v>29044.247912077033</v>
      </c>
      <c r="J53" s="662">
        <v>29975.77339397891</v>
      </c>
      <c r="K53" s="566" t="s">
        <v>4600</v>
      </c>
      <c r="L53" s="549"/>
      <c r="M53" s="719" t="s">
        <v>2314</v>
      </c>
      <c r="O53" s="716"/>
      <c r="S53" s="550"/>
      <c r="T53" s="547"/>
      <c r="U53" s="547"/>
      <c r="V53" s="547"/>
      <c r="W53" s="549"/>
    </row>
    <row r="54" spans="1:23">
      <c r="A54" s="565">
        <v>748</v>
      </c>
      <c r="B54" s="696" t="s">
        <v>5461</v>
      </c>
      <c r="C54" s="566">
        <f t="shared" si="0"/>
        <v>748</v>
      </c>
      <c r="D54" s="700" t="s">
        <v>2218</v>
      </c>
      <c r="E54" s="701" t="s">
        <v>7935</v>
      </c>
      <c r="F54" s="566">
        <v>1</v>
      </c>
      <c r="G54" s="662">
        <v>0</v>
      </c>
      <c r="H54" s="662">
        <v>0</v>
      </c>
      <c r="I54" s="662">
        <v>31942.932403463208</v>
      </c>
      <c r="J54" s="662">
        <v>32975.369461655588</v>
      </c>
      <c r="K54" s="566" t="s">
        <v>3863</v>
      </c>
      <c r="L54" s="549"/>
      <c r="M54" s="719" t="s">
        <v>3783</v>
      </c>
      <c r="O54" s="716"/>
      <c r="S54" s="550"/>
      <c r="T54" s="547"/>
      <c r="U54" s="547"/>
      <c r="V54" s="547"/>
      <c r="W54" s="549"/>
    </row>
    <row r="55" spans="1:23">
      <c r="A55" s="565">
        <v>749</v>
      </c>
      <c r="B55" s="696" t="s">
        <v>5462</v>
      </c>
      <c r="C55" s="566">
        <f t="shared" si="0"/>
        <v>749</v>
      </c>
      <c r="D55" s="700" t="s">
        <v>2218</v>
      </c>
      <c r="E55" s="701" t="s">
        <v>7936</v>
      </c>
      <c r="F55" s="566">
        <v>1</v>
      </c>
      <c r="G55" s="662">
        <v>0</v>
      </c>
      <c r="H55" s="662">
        <v>0</v>
      </c>
      <c r="I55" s="662">
        <v>33149.777697542275</v>
      </c>
      <c r="J55" s="662">
        <v>34224.215192744945</v>
      </c>
      <c r="K55" s="566" t="s">
        <v>4601</v>
      </c>
      <c r="L55" s="549"/>
      <c r="M55" s="719" t="s">
        <v>2315</v>
      </c>
      <c r="O55" s="716"/>
      <c r="S55" s="550"/>
      <c r="T55" s="547"/>
      <c r="U55" s="547"/>
      <c r="V55" s="547"/>
      <c r="W55" s="549"/>
    </row>
    <row r="56" spans="1:23">
      <c r="A56" s="565">
        <v>750</v>
      </c>
      <c r="B56" s="696" t="s">
        <v>5463</v>
      </c>
      <c r="C56" s="566">
        <f t="shared" si="0"/>
        <v>750</v>
      </c>
      <c r="D56" s="700" t="s">
        <v>2218</v>
      </c>
      <c r="E56" s="701" t="s">
        <v>7937</v>
      </c>
      <c r="F56" s="566">
        <v>1</v>
      </c>
      <c r="G56" s="662">
        <v>0</v>
      </c>
      <c r="H56" s="662">
        <v>0</v>
      </c>
      <c r="I56" s="662">
        <v>33322.721259933671</v>
      </c>
      <c r="J56" s="662">
        <v>34403.182502023345</v>
      </c>
      <c r="K56" s="566" t="s">
        <v>3864</v>
      </c>
      <c r="L56" s="549"/>
      <c r="M56" s="719" t="s">
        <v>2316</v>
      </c>
      <c r="O56" s="716"/>
      <c r="S56" s="550"/>
      <c r="T56" s="547"/>
      <c r="U56" s="547"/>
      <c r="V56" s="547"/>
      <c r="W56" s="549"/>
    </row>
    <row r="57" spans="1:23">
      <c r="A57" s="565">
        <v>751</v>
      </c>
      <c r="B57" s="696" t="s">
        <v>5464</v>
      </c>
      <c r="C57" s="566">
        <f t="shared" si="0"/>
        <v>751</v>
      </c>
      <c r="D57" s="700" t="s">
        <v>2218</v>
      </c>
      <c r="E57" s="701" t="s">
        <v>7938</v>
      </c>
      <c r="F57" s="566">
        <v>1</v>
      </c>
      <c r="G57" s="662">
        <v>0</v>
      </c>
      <c r="H57" s="662">
        <v>0</v>
      </c>
      <c r="I57" s="662">
        <v>34529.566554012745</v>
      </c>
      <c r="J57" s="662">
        <v>35652.083496845604</v>
      </c>
      <c r="K57" s="566" t="s">
        <v>4602</v>
      </c>
      <c r="L57" s="549"/>
      <c r="M57" s="719" t="s">
        <v>2317</v>
      </c>
      <c r="O57" s="716"/>
      <c r="S57" s="550"/>
      <c r="T57" s="547"/>
      <c r="U57" s="547"/>
      <c r="V57" s="547"/>
      <c r="W57" s="549"/>
    </row>
    <row r="58" spans="1:23">
      <c r="A58" s="565">
        <v>752</v>
      </c>
      <c r="B58" s="696" t="s">
        <v>5465</v>
      </c>
      <c r="C58" s="566">
        <f t="shared" si="0"/>
        <v>752</v>
      </c>
      <c r="D58" s="700" t="s">
        <v>2218</v>
      </c>
      <c r="E58" s="701" t="s">
        <v>7939</v>
      </c>
      <c r="F58" s="566">
        <v>1</v>
      </c>
      <c r="G58" s="662">
        <v>0</v>
      </c>
      <c r="H58" s="662">
        <v>0</v>
      </c>
      <c r="I58" s="662">
        <v>30172.292724770625</v>
      </c>
      <c r="J58" s="662">
        <v>31236.119583254902</v>
      </c>
      <c r="K58" s="566" t="s">
        <v>3865</v>
      </c>
      <c r="L58" s="549"/>
      <c r="M58" s="719" t="s">
        <v>2319</v>
      </c>
      <c r="O58" s="716"/>
      <c r="S58" s="550"/>
      <c r="T58" s="547"/>
      <c r="U58" s="547"/>
      <c r="V58" s="547"/>
      <c r="W58" s="549"/>
    </row>
    <row r="59" spans="1:23">
      <c r="A59" s="565">
        <v>753</v>
      </c>
      <c r="B59" s="696" t="s">
        <v>5466</v>
      </c>
      <c r="C59" s="566">
        <f t="shared" si="0"/>
        <v>753</v>
      </c>
      <c r="D59" s="700" t="s">
        <v>2218</v>
      </c>
      <c r="E59" s="701" t="s">
        <v>7940</v>
      </c>
      <c r="F59" s="566">
        <v>1</v>
      </c>
      <c r="G59" s="662">
        <v>24292.3851871974</v>
      </c>
      <c r="H59" s="662">
        <v>25085.309226965321</v>
      </c>
      <c r="I59" s="662">
        <v>25919.957385078989</v>
      </c>
      <c r="J59" s="662">
        <v>26798.540210854731</v>
      </c>
      <c r="K59" s="566" t="s">
        <v>1803</v>
      </c>
      <c r="L59" s="549"/>
      <c r="M59" s="719" t="s">
        <v>10432</v>
      </c>
      <c r="O59" s="716"/>
      <c r="S59" s="550"/>
      <c r="T59" s="547"/>
      <c r="U59" s="547"/>
      <c r="V59" s="547"/>
      <c r="W59" s="549"/>
    </row>
    <row r="60" spans="1:23">
      <c r="A60" s="565">
        <v>754</v>
      </c>
      <c r="B60" s="696" t="s">
        <v>5467</v>
      </c>
      <c r="C60" s="566">
        <f t="shared" si="0"/>
        <v>754</v>
      </c>
      <c r="D60" s="700" t="s">
        <v>2218</v>
      </c>
      <c r="E60" s="701" t="s">
        <v>7941</v>
      </c>
      <c r="F60" s="566">
        <v>1</v>
      </c>
      <c r="G60" s="662">
        <v>25732.416188037259</v>
      </c>
      <c r="H60" s="662">
        <v>26577.232873006047</v>
      </c>
      <c r="I60" s="662">
        <v>0</v>
      </c>
      <c r="J60" s="662">
        <v>28402.593970966351</v>
      </c>
      <c r="K60" s="566" t="s">
        <v>1804</v>
      </c>
      <c r="L60" s="549"/>
      <c r="M60" s="719" t="s">
        <v>2318</v>
      </c>
      <c r="O60" s="716"/>
      <c r="S60" s="550"/>
      <c r="T60" s="547"/>
      <c r="U60" s="547"/>
      <c r="V60" s="547"/>
      <c r="W60" s="549"/>
    </row>
    <row r="61" spans="1:23">
      <c r="A61" s="565">
        <v>755</v>
      </c>
      <c r="B61" s="696" t="s">
        <v>5468</v>
      </c>
      <c r="C61" s="566">
        <f t="shared" si="0"/>
        <v>755</v>
      </c>
      <c r="D61" s="700" t="s">
        <v>2218</v>
      </c>
      <c r="E61" s="701" t="s">
        <v>7942</v>
      </c>
      <c r="F61" s="566">
        <v>1</v>
      </c>
      <c r="G61" s="662">
        <v>30457.47754992979</v>
      </c>
      <c r="H61" s="662">
        <v>0</v>
      </c>
      <c r="I61" s="662">
        <v>0</v>
      </c>
      <c r="J61" s="662">
        <v>33665.813563919663</v>
      </c>
      <c r="K61" s="566" t="s">
        <v>1805</v>
      </c>
      <c r="L61" s="549"/>
      <c r="M61" s="719" t="s">
        <v>2320</v>
      </c>
      <c r="O61" s="716"/>
      <c r="S61" s="550"/>
      <c r="T61" s="547"/>
      <c r="U61" s="547"/>
      <c r="V61" s="547"/>
      <c r="W61" s="549"/>
    </row>
    <row r="62" spans="1:23">
      <c r="A62" s="565">
        <v>756</v>
      </c>
      <c r="B62" s="696" t="s">
        <v>5469</v>
      </c>
      <c r="C62" s="566">
        <f t="shared" si="0"/>
        <v>756</v>
      </c>
      <c r="D62" s="700" t="s">
        <v>2218</v>
      </c>
      <c r="E62" s="701" t="s">
        <v>7943</v>
      </c>
      <c r="F62" s="566">
        <v>1</v>
      </c>
      <c r="G62" s="662">
        <v>0</v>
      </c>
      <c r="H62" s="662">
        <v>31837.662408964105</v>
      </c>
      <c r="I62" s="662">
        <v>32866.396797051631</v>
      </c>
      <c r="J62" s="662">
        <v>33949.344907122177</v>
      </c>
      <c r="K62" s="566" t="s">
        <v>2982</v>
      </c>
      <c r="L62" s="549"/>
      <c r="M62" s="719"/>
      <c r="O62" s="716"/>
      <c r="S62" s="550"/>
      <c r="T62" s="547"/>
      <c r="U62" s="547"/>
      <c r="V62" s="547"/>
      <c r="W62" s="549"/>
    </row>
    <row r="63" spans="1:23">
      <c r="A63" s="565">
        <v>757</v>
      </c>
      <c r="B63" s="696" t="s">
        <v>5470</v>
      </c>
      <c r="C63" s="566">
        <f t="shared" si="0"/>
        <v>757</v>
      </c>
      <c r="D63" s="700" t="s">
        <v>2218</v>
      </c>
      <c r="E63" s="701" t="s">
        <v>7944</v>
      </c>
      <c r="F63" s="566">
        <v>1</v>
      </c>
      <c r="G63" s="662">
        <v>0</v>
      </c>
      <c r="H63" s="662">
        <v>33281.365190666162</v>
      </c>
      <c r="I63" s="662">
        <v>34360.389575700217</v>
      </c>
      <c r="J63" s="662">
        <v>35496.225078163989</v>
      </c>
      <c r="K63" s="566" t="s">
        <v>2983</v>
      </c>
      <c r="L63" s="549"/>
      <c r="M63" s="719"/>
      <c r="O63" s="716"/>
      <c r="S63" s="550"/>
      <c r="T63" s="547"/>
      <c r="U63" s="547"/>
      <c r="V63" s="547"/>
      <c r="W63" s="549"/>
    </row>
    <row r="64" spans="1:23">
      <c r="A64" s="565">
        <v>758</v>
      </c>
      <c r="B64" s="696" t="s">
        <v>5471</v>
      </c>
      <c r="C64" s="566">
        <f t="shared" si="0"/>
        <v>758</v>
      </c>
      <c r="D64" s="700" t="s">
        <v>2218</v>
      </c>
      <c r="E64" s="701" t="s">
        <v>7945</v>
      </c>
      <c r="F64" s="566">
        <v>1</v>
      </c>
      <c r="G64" s="662">
        <v>28342.472377059512</v>
      </c>
      <c r="H64" s="662">
        <v>0</v>
      </c>
      <c r="I64" s="662">
        <v>0</v>
      </c>
      <c r="J64" s="662">
        <v>0</v>
      </c>
      <c r="K64" s="566" t="s">
        <v>5170</v>
      </c>
      <c r="L64" s="549"/>
      <c r="M64" s="719"/>
      <c r="O64" s="716"/>
      <c r="S64" s="550"/>
      <c r="T64" s="547"/>
      <c r="U64" s="547"/>
      <c r="V64" s="547"/>
      <c r="W64" s="549"/>
    </row>
    <row r="65" spans="1:23">
      <c r="A65" s="565">
        <v>759</v>
      </c>
      <c r="B65" s="696" t="s">
        <v>5472</v>
      </c>
      <c r="C65" s="566">
        <f t="shared" si="0"/>
        <v>759</v>
      </c>
      <c r="D65" s="700" t="s">
        <v>2218</v>
      </c>
      <c r="E65" s="701" t="s">
        <v>7946</v>
      </c>
      <c r="F65" s="566">
        <v>1</v>
      </c>
      <c r="G65" s="662">
        <v>37181.79271388521</v>
      </c>
      <c r="H65" s="662">
        <v>38439.208428747181</v>
      </c>
      <c r="I65" s="662">
        <v>39762.774831900351</v>
      </c>
      <c r="J65" s="662">
        <v>41156.028802250854</v>
      </c>
      <c r="K65" s="566" t="s">
        <v>1806</v>
      </c>
      <c r="L65" s="549"/>
      <c r="M65" s="718"/>
      <c r="O65" s="716"/>
      <c r="S65" s="550"/>
      <c r="T65" s="547"/>
      <c r="U65" s="547"/>
      <c r="V65" s="547"/>
      <c r="W65" s="549"/>
    </row>
    <row r="66" spans="1:23">
      <c r="A66" s="565">
        <v>760</v>
      </c>
      <c r="B66" s="696" t="s">
        <v>5473</v>
      </c>
      <c r="C66" s="566">
        <f t="shared" si="0"/>
        <v>760</v>
      </c>
      <c r="D66" s="700" t="s">
        <v>2218</v>
      </c>
      <c r="E66" s="701" t="s">
        <v>7947</v>
      </c>
      <c r="F66" s="566">
        <v>1</v>
      </c>
      <c r="G66" s="662">
        <v>28326.132243935815</v>
      </c>
      <c r="H66" s="662">
        <v>29195.026117337351</v>
      </c>
      <c r="I66" s="662">
        <v>30109.647636253692</v>
      </c>
      <c r="J66" s="662">
        <v>31072.398102399788</v>
      </c>
      <c r="K66" s="566" t="s">
        <v>1807</v>
      </c>
      <c r="L66" s="549"/>
      <c r="M66" s="718"/>
      <c r="O66" s="716"/>
      <c r="S66" s="550"/>
      <c r="T66" s="547"/>
      <c r="U66" s="547"/>
      <c r="V66" s="547"/>
      <c r="W66" s="549"/>
    </row>
    <row r="67" spans="1:23">
      <c r="A67" s="565">
        <v>761</v>
      </c>
      <c r="B67" s="696" t="s">
        <v>5474</v>
      </c>
      <c r="C67" s="566">
        <f t="shared" si="0"/>
        <v>761</v>
      </c>
      <c r="D67" s="700" t="s">
        <v>2218</v>
      </c>
      <c r="E67" s="701" t="s">
        <v>7948</v>
      </c>
      <c r="F67" s="566">
        <v>1</v>
      </c>
      <c r="G67" s="662">
        <v>0</v>
      </c>
      <c r="H67" s="662">
        <v>0</v>
      </c>
      <c r="I67" s="662">
        <v>0</v>
      </c>
      <c r="J67" s="662">
        <v>40875.252875165599</v>
      </c>
      <c r="K67" s="566" t="s">
        <v>4603</v>
      </c>
      <c r="L67" s="549"/>
      <c r="M67" s="718"/>
      <c r="O67" s="716"/>
      <c r="S67" s="654"/>
      <c r="T67" s="547"/>
      <c r="U67" s="547"/>
      <c r="V67" s="547"/>
      <c r="W67" s="549"/>
    </row>
    <row r="68" spans="1:23">
      <c r="A68" s="565">
        <v>762</v>
      </c>
      <c r="B68" s="696" t="s">
        <v>5475</v>
      </c>
      <c r="C68" s="566">
        <f t="shared" si="0"/>
        <v>762</v>
      </c>
      <c r="D68" s="700" t="s">
        <v>2218</v>
      </c>
      <c r="E68" s="701" t="s">
        <v>7949</v>
      </c>
      <c r="F68" s="566">
        <v>1</v>
      </c>
      <c r="G68" s="662">
        <v>0</v>
      </c>
      <c r="H68" s="662">
        <v>0</v>
      </c>
      <c r="I68" s="662">
        <v>0</v>
      </c>
      <c r="J68" s="662">
        <v>38409.517779837035</v>
      </c>
      <c r="K68" s="566" t="s">
        <v>4604</v>
      </c>
      <c r="L68" s="549"/>
      <c r="M68" s="717"/>
      <c r="O68" s="716"/>
      <c r="S68" s="654"/>
      <c r="T68" s="547"/>
      <c r="U68" s="547"/>
      <c r="V68" s="547"/>
      <c r="W68" s="549"/>
    </row>
    <row r="69" spans="1:23">
      <c r="A69" s="565">
        <v>763</v>
      </c>
      <c r="B69" s="696" t="s">
        <v>5476</v>
      </c>
      <c r="C69" s="566">
        <f t="shared" si="0"/>
        <v>763</v>
      </c>
      <c r="D69" s="700" t="s">
        <v>2218</v>
      </c>
      <c r="E69" s="701" t="s">
        <v>7950</v>
      </c>
      <c r="F69" s="566">
        <v>1</v>
      </c>
      <c r="G69" s="662">
        <v>0</v>
      </c>
      <c r="H69" s="662">
        <v>0</v>
      </c>
      <c r="I69" s="662">
        <v>0</v>
      </c>
      <c r="J69" s="662">
        <v>35950.711479750709</v>
      </c>
      <c r="K69" s="566" t="s">
        <v>4605</v>
      </c>
      <c r="L69" s="549"/>
      <c r="M69" s="717"/>
      <c r="O69" s="716"/>
      <c r="S69" s="654"/>
      <c r="T69" s="547"/>
      <c r="U69" s="547"/>
      <c r="V69" s="547"/>
      <c r="W69" s="549"/>
    </row>
    <row r="70" spans="1:23">
      <c r="A70" s="565">
        <v>764</v>
      </c>
      <c r="B70" s="696" t="s">
        <v>5477</v>
      </c>
      <c r="C70" s="566">
        <f t="shared" si="0"/>
        <v>764</v>
      </c>
      <c r="D70" s="700" t="s">
        <v>2218</v>
      </c>
      <c r="E70" s="701" t="s">
        <v>7951</v>
      </c>
      <c r="F70" s="566">
        <v>1</v>
      </c>
      <c r="G70" s="662">
        <v>0</v>
      </c>
      <c r="H70" s="662">
        <v>0</v>
      </c>
      <c r="I70" s="662">
        <v>35522.112216432906</v>
      </c>
      <c r="J70" s="662">
        <v>35522.112216432906</v>
      </c>
      <c r="K70" s="566" t="s">
        <v>4606</v>
      </c>
      <c r="L70" s="549"/>
      <c r="M70" s="717"/>
      <c r="O70" s="716"/>
      <c r="S70" s="654"/>
      <c r="T70" s="547"/>
      <c r="U70" s="547"/>
      <c r="V70" s="547"/>
      <c r="W70" s="549"/>
    </row>
    <row r="71" spans="1:23">
      <c r="A71" s="565">
        <v>765</v>
      </c>
      <c r="B71" s="696" t="s">
        <v>5478</v>
      </c>
      <c r="C71" s="566">
        <f t="shared" si="0"/>
        <v>765</v>
      </c>
      <c r="D71" s="700" t="s">
        <v>2218</v>
      </c>
      <c r="E71" s="701" t="s">
        <v>7952</v>
      </c>
      <c r="F71" s="566">
        <v>1</v>
      </c>
      <c r="G71" s="662">
        <v>27999.980699001011</v>
      </c>
      <c r="H71" s="662">
        <v>0</v>
      </c>
      <c r="I71" s="662">
        <v>0</v>
      </c>
      <c r="J71" s="662">
        <v>0</v>
      </c>
      <c r="K71" s="566" t="s">
        <v>5171</v>
      </c>
      <c r="L71" s="549"/>
      <c r="M71" s="717"/>
      <c r="O71" s="716"/>
      <c r="S71" s="654"/>
      <c r="T71" s="547"/>
      <c r="U71" s="547"/>
      <c r="V71" s="547"/>
      <c r="W71" s="549"/>
    </row>
    <row r="72" spans="1:23">
      <c r="A72" s="565">
        <v>766</v>
      </c>
      <c r="B72" s="696" t="s">
        <v>5479</v>
      </c>
      <c r="C72" s="566">
        <f t="shared" si="0"/>
        <v>766</v>
      </c>
      <c r="D72" s="700" t="s">
        <v>2218</v>
      </c>
      <c r="E72" s="701" t="s">
        <v>7953</v>
      </c>
      <c r="F72" s="566">
        <v>1</v>
      </c>
      <c r="G72" s="662">
        <v>0</v>
      </c>
      <c r="H72" s="662">
        <v>25656.809874802155</v>
      </c>
      <c r="I72" s="662">
        <v>26470.402550677765</v>
      </c>
      <c r="J72" s="662">
        <v>27326.82461955729</v>
      </c>
      <c r="K72" s="566" t="s">
        <v>2984</v>
      </c>
      <c r="L72" s="549"/>
      <c r="M72" s="716"/>
      <c r="O72" s="716"/>
      <c r="S72" s="654"/>
      <c r="T72" s="547"/>
      <c r="U72" s="547"/>
      <c r="V72" s="547"/>
      <c r="W72" s="549"/>
    </row>
    <row r="73" spans="1:23">
      <c r="A73" s="565">
        <v>767</v>
      </c>
      <c r="B73" s="696" t="s">
        <v>5480</v>
      </c>
      <c r="C73" s="566">
        <f t="shared" ref="C73:C136" si="1">A73</f>
        <v>767</v>
      </c>
      <c r="D73" s="700" t="s">
        <v>2218</v>
      </c>
      <c r="E73" s="701" t="s">
        <v>7954</v>
      </c>
      <c r="F73" s="566">
        <v>1</v>
      </c>
      <c r="G73" s="662">
        <v>0</v>
      </c>
      <c r="H73" s="662">
        <v>27423.841925322908</v>
      </c>
      <c r="I73" s="662">
        <v>28298.943135925427</v>
      </c>
      <c r="J73" s="662">
        <v>29220.134299773454</v>
      </c>
      <c r="K73" s="566" t="s">
        <v>2985</v>
      </c>
      <c r="L73" s="549"/>
      <c r="M73" s="716"/>
      <c r="O73" s="716"/>
      <c r="S73" s="654"/>
      <c r="T73" s="547"/>
      <c r="U73" s="547"/>
      <c r="V73" s="547"/>
      <c r="W73" s="549"/>
    </row>
    <row r="74" spans="1:23">
      <c r="A74" s="565">
        <v>768</v>
      </c>
      <c r="B74" s="696" t="s">
        <v>5481</v>
      </c>
      <c r="C74" s="566">
        <f t="shared" si="1"/>
        <v>768</v>
      </c>
      <c r="D74" s="700" t="s">
        <v>2218</v>
      </c>
      <c r="E74" s="701" t="s">
        <v>7955</v>
      </c>
      <c r="F74" s="566">
        <v>1</v>
      </c>
      <c r="G74" s="662">
        <v>0</v>
      </c>
      <c r="H74" s="662">
        <v>27100.512656504212</v>
      </c>
      <c r="I74" s="662">
        <v>27964.340065593442</v>
      </c>
      <c r="J74" s="662">
        <v>28873.649526866186</v>
      </c>
      <c r="K74" s="566" t="s">
        <v>2986</v>
      </c>
      <c r="L74" s="549"/>
      <c r="M74" s="716"/>
      <c r="O74" s="716"/>
      <c r="S74" s="654"/>
      <c r="T74" s="547"/>
      <c r="U74" s="547"/>
      <c r="V74" s="547"/>
      <c r="W74" s="549"/>
    </row>
    <row r="75" spans="1:23">
      <c r="A75" s="565">
        <v>769</v>
      </c>
      <c r="B75" s="696" t="s">
        <v>5482</v>
      </c>
      <c r="C75" s="566">
        <f t="shared" si="1"/>
        <v>769</v>
      </c>
      <c r="D75" s="700" t="s">
        <v>2218</v>
      </c>
      <c r="E75" s="701" t="s">
        <v>7956</v>
      </c>
      <c r="F75" s="566">
        <v>1</v>
      </c>
      <c r="G75" s="662">
        <v>0</v>
      </c>
      <c r="H75" s="662">
        <v>28867.544707024961</v>
      </c>
      <c r="I75" s="662">
        <v>29792.880650841107</v>
      </c>
      <c r="J75" s="662">
        <v>30766.959207082356</v>
      </c>
      <c r="K75" s="566" t="s">
        <v>2987</v>
      </c>
      <c r="L75" s="549"/>
      <c r="M75" s="716"/>
      <c r="O75" s="716"/>
      <c r="S75" s="654"/>
      <c r="T75" s="547"/>
      <c r="U75" s="547"/>
      <c r="V75" s="547"/>
      <c r="W75" s="549"/>
    </row>
    <row r="76" spans="1:23">
      <c r="A76" s="565">
        <v>770</v>
      </c>
      <c r="B76" s="696" t="s">
        <v>5483</v>
      </c>
      <c r="C76" s="566">
        <f t="shared" si="1"/>
        <v>770</v>
      </c>
      <c r="D76" s="700" t="s">
        <v>2218</v>
      </c>
      <c r="E76" s="701" t="s">
        <v>7957</v>
      </c>
      <c r="F76" s="566">
        <v>1</v>
      </c>
      <c r="G76" s="662">
        <v>0</v>
      </c>
      <c r="H76" s="662">
        <v>29311.182540985497</v>
      </c>
      <c r="I76" s="662">
        <v>30251.99233001595</v>
      </c>
      <c r="J76" s="662">
        <v>31242.318423732228</v>
      </c>
      <c r="K76" s="566" t="s">
        <v>2988</v>
      </c>
      <c r="L76" s="549"/>
      <c r="M76" s="716"/>
      <c r="O76" s="716"/>
      <c r="S76" s="654"/>
      <c r="T76" s="547"/>
      <c r="U76" s="547"/>
      <c r="V76" s="547"/>
      <c r="W76" s="549"/>
    </row>
    <row r="77" spans="1:23">
      <c r="A77" s="565">
        <v>771</v>
      </c>
      <c r="B77" s="696" t="s">
        <v>5484</v>
      </c>
      <c r="C77" s="566">
        <f t="shared" si="1"/>
        <v>771</v>
      </c>
      <c r="D77" s="700" t="s">
        <v>2218</v>
      </c>
      <c r="E77" s="701" t="s">
        <v>7958</v>
      </c>
      <c r="F77" s="566">
        <v>1</v>
      </c>
      <c r="G77" s="662">
        <v>0</v>
      </c>
      <c r="H77" s="662">
        <v>31078.214591506254</v>
      </c>
      <c r="I77" s="662">
        <v>32080.532915263622</v>
      </c>
      <c r="J77" s="662">
        <v>33135.628103948387</v>
      </c>
      <c r="K77" s="566" t="s">
        <v>2989</v>
      </c>
      <c r="L77" s="549"/>
      <c r="M77" s="716"/>
      <c r="O77" s="716"/>
      <c r="S77" s="654"/>
      <c r="T77" s="547"/>
      <c r="U77" s="547"/>
      <c r="V77" s="547"/>
      <c r="W77" s="549"/>
    </row>
    <row r="78" spans="1:23">
      <c r="A78" s="565">
        <v>772</v>
      </c>
      <c r="B78" s="696" t="s">
        <v>5485</v>
      </c>
      <c r="C78" s="566">
        <f t="shared" si="1"/>
        <v>772</v>
      </c>
      <c r="D78" s="700" t="s">
        <v>2218</v>
      </c>
      <c r="E78" s="701" t="s">
        <v>7959</v>
      </c>
      <c r="F78" s="566">
        <v>1</v>
      </c>
      <c r="G78" s="662">
        <v>29810.109353363896</v>
      </c>
      <c r="H78" s="662">
        <v>0</v>
      </c>
      <c r="I78" s="662">
        <v>0</v>
      </c>
      <c r="J78" s="662">
        <v>0</v>
      </c>
      <c r="K78" s="566" t="s">
        <v>5172</v>
      </c>
      <c r="L78" s="549"/>
      <c r="M78" s="716"/>
      <c r="O78" s="716"/>
      <c r="S78" s="654"/>
      <c r="T78" s="547"/>
      <c r="U78" s="547"/>
      <c r="V78" s="547"/>
      <c r="W78" s="549"/>
    </row>
    <row r="79" spans="1:23">
      <c r="A79" s="565">
        <v>773</v>
      </c>
      <c r="B79" s="696" t="s">
        <v>5486</v>
      </c>
      <c r="C79" s="566">
        <f t="shared" si="1"/>
        <v>773</v>
      </c>
      <c r="D79" s="700" t="s">
        <v>2218</v>
      </c>
      <c r="E79" s="701" t="s">
        <v>7960</v>
      </c>
      <c r="F79" s="566">
        <v>1</v>
      </c>
      <c r="G79" s="662">
        <v>32270.027781087814</v>
      </c>
      <c r="H79" s="662">
        <v>0</v>
      </c>
      <c r="I79" s="662">
        <v>0</v>
      </c>
      <c r="J79" s="662">
        <v>0</v>
      </c>
      <c r="K79" s="566" t="s">
        <v>5173</v>
      </c>
      <c r="L79" s="549"/>
      <c r="M79" s="716"/>
      <c r="O79" s="716"/>
      <c r="S79" s="654"/>
      <c r="T79" s="547"/>
      <c r="U79" s="547"/>
      <c r="V79" s="547"/>
      <c r="W79" s="549"/>
    </row>
    <row r="80" spans="1:23">
      <c r="A80" s="565">
        <v>774</v>
      </c>
      <c r="B80" s="696" t="s">
        <v>5487</v>
      </c>
      <c r="C80" s="566">
        <f t="shared" si="1"/>
        <v>774</v>
      </c>
      <c r="D80" s="700" t="s">
        <v>2218</v>
      </c>
      <c r="E80" s="701" t="s">
        <v>7961</v>
      </c>
      <c r="F80" s="566">
        <v>1</v>
      </c>
      <c r="G80" s="662">
        <v>0</v>
      </c>
      <c r="H80" s="662">
        <v>32559.513799815137</v>
      </c>
      <c r="I80" s="662">
        <v>33613.393186375921</v>
      </c>
      <c r="J80" s="662">
        <v>34722.757360776632</v>
      </c>
      <c r="K80" s="566" t="s">
        <v>2990</v>
      </c>
      <c r="L80" s="549"/>
      <c r="M80" s="716"/>
      <c r="O80" s="716"/>
      <c r="S80" s="654"/>
      <c r="T80" s="547"/>
      <c r="U80" s="547"/>
      <c r="V80" s="547"/>
      <c r="W80" s="549"/>
    </row>
    <row r="81" spans="1:23">
      <c r="A81" s="565">
        <v>775</v>
      </c>
      <c r="B81" s="696" t="s">
        <v>5488</v>
      </c>
      <c r="C81" s="566">
        <f t="shared" si="1"/>
        <v>775</v>
      </c>
      <c r="D81" s="700" t="s">
        <v>2218</v>
      </c>
      <c r="E81" s="701" t="s">
        <v>7962</v>
      </c>
      <c r="F81" s="566">
        <v>1</v>
      </c>
      <c r="G81" s="662">
        <v>0</v>
      </c>
      <c r="H81" s="662">
        <v>34003.216581517197</v>
      </c>
      <c r="I81" s="662">
        <v>35107.385965024521</v>
      </c>
      <c r="J81" s="662">
        <v>36269.692795551346</v>
      </c>
      <c r="K81" s="566" t="s">
        <v>2991</v>
      </c>
      <c r="L81" s="549"/>
      <c r="M81" s="716"/>
      <c r="O81" s="716"/>
      <c r="S81" s="654"/>
      <c r="T81" s="547"/>
      <c r="U81" s="547"/>
      <c r="V81" s="547"/>
      <c r="W81" s="549"/>
    </row>
    <row r="82" spans="1:23">
      <c r="A82" s="565">
        <v>776</v>
      </c>
      <c r="B82" s="696" t="s">
        <v>5489</v>
      </c>
      <c r="C82" s="566">
        <f t="shared" si="1"/>
        <v>776</v>
      </c>
      <c r="D82" s="700" t="s">
        <v>2218</v>
      </c>
      <c r="E82" s="701" t="s">
        <v>7963</v>
      </c>
      <c r="F82" s="566">
        <v>1</v>
      </c>
      <c r="G82" s="662">
        <v>29270.24464309742</v>
      </c>
      <c r="H82" s="662">
        <v>0</v>
      </c>
      <c r="I82" s="662">
        <v>0</v>
      </c>
      <c r="J82" s="662">
        <v>0</v>
      </c>
      <c r="K82" s="566" t="s">
        <v>5174</v>
      </c>
      <c r="L82" s="549"/>
      <c r="M82" s="716"/>
      <c r="O82" s="716"/>
      <c r="S82" s="654"/>
      <c r="T82" s="547"/>
      <c r="U82" s="547"/>
      <c r="V82" s="547"/>
      <c r="W82" s="549"/>
    </row>
    <row r="83" spans="1:23">
      <c r="A83" s="565">
        <v>777</v>
      </c>
      <c r="B83" s="696" t="s">
        <v>5490</v>
      </c>
      <c r="C83" s="566">
        <f t="shared" si="1"/>
        <v>777</v>
      </c>
      <c r="D83" s="700" t="s">
        <v>2218</v>
      </c>
      <c r="E83" s="701" t="s">
        <v>7964</v>
      </c>
      <c r="F83" s="566">
        <v>1</v>
      </c>
      <c r="G83" s="662">
        <v>0</v>
      </c>
      <c r="H83" s="662">
        <v>0</v>
      </c>
      <c r="I83" s="662">
        <v>25995.129991086615</v>
      </c>
      <c r="J83" s="662">
        <v>26576.2509520891</v>
      </c>
      <c r="K83" s="566" t="s">
        <v>3866</v>
      </c>
      <c r="L83" s="549"/>
      <c r="M83" s="716"/>
      <c r="O83" s="716"/>
      <c r="S83" s="654"/>
      <c r="T83" s="547"/>
      <c r="U83" s="547"/>
      <c r="V83" s="547"/>
      <c r="W83" s="549"/>
    </row>
    <row r="84" spans="1:23">
      <c r="A84" s="565">
        <v>778</v>
      </c>
      <c r="B84" s="696" t="s">
        <v>5491</v>
      </c>
      <c r="C84" s="566">
        <f t="shared" si="1"/>
        <v>778</v>
      </c>
      <c r="D84" s="700" t="s">
        <v>2218</v>
      </c>
      <c r="E84" s="701" t="s">
        <v>7965</v>
      </c>
      <c r="F84" s="566">
        <v>1</v>
      </c>
      <c r="G84" s="662">
        <v>26771.788041446591</v>
      </c>
      <c r="H84" s="662">
        <v>27405.289036621143</v>
      </c>
      <c r="I84" s="662">
        <v>0</v>
      </c>
      <c r="J84" s="662">
        <v>0</v>
      </c>
      <c r="K84" s="566" t="s">
        <v>1808</v>
      </c>
      <c r="L84" s="549"/>
      <c r="M84" s="716"/>
      <c r="O84" s="716"/>
      <c r="S84" s="654"/>
      <c r="T84" s="547"/>
      <c r="U84" s="547"/>
      <c r="V84" s="547"/>
      <c r="W84" s="549"/>
    </row>
    <row r="85" spans="1:23">
      <c r="A85" s="565">
        <v>779</v>
      </c>
      <c r="B85" s="696" t="s">
        <v>5492</v>
      </c>
      <c r="C85" s="566">
        <f t="shared" si="1"/>
        <v>779</v>
      </c>
      <c r="D85" s="700" t="s">
        <v>2218</v>
      </c>
      <c r="E85" s="701" t="s">
        <v>7966</v>
      </c>
      <c r="F85" s="566">
        <v>1</v>
      </c>
      <c r="G85" s="662">
        <v>34274.732326116842</v>
      </c>
      <c r="H85" s="662">
        <v>35102.341782040785</v>
      </c>
      <c r="I85" s="662">
        <v>35929.951237964728</v>
      </c>
      <c r="J85" s="662">
        <v>36801.116498934622</v>
      </c>
      <c r="K85" s="566" t="s">
        <v>1809</v>
      </c>
      <c r="L85" s="549"/>
      <c r="M85" s="716"/>
      <c r="O85" s="716"/>
      <c r="S85" s="654"/>
      <c r="T85" s="547"/>
      <c r="U85" s="547"/>
      <c r="V85" s="547"/>
      <c r="W85" s="549"/>
    </row>
    <row r="86" spans="1:23">
      <c r="A86" s="565">
        <v>780</v>
      </c>
      <c r="B86" s="696" t="s">
        <v>5493</v>
      </c>
      <c r="C86" s="566">
        <f t="shared" si="1"/>
        <v>780</v>
      </c>
      <c r="D86" s="700" t="s">
        <v>2218</v>
      </c>
      <c r="E86" s="701" t="s">
        <v>7967</v>
      </c>
      <c r="F86" s="566">
        <v>1</v>
      </c>
      <c r="G86" s="662">
        <v>0</v>
      </c>
      <c r="H86" s="662">
        <v>0</v>
      </c>
      <c r="I86" s="662">
        <v>38754.172946847488</v>
      </c>
      <c r="J86" s="662">
        <v>39648.025571280945</v>
      </c>
      <c r="K86" s="566" t="s">
        <v>3867</v>
      </c>
      <c r="L86" s="549"/>
      <c r="M86" s="716"/>
      <c r="O86" s="716"/>
      <c r="S86" s="654"/>
      <c r="T86" s="547"/>
      <c r="U86" s="547"/>
      <c r="V86" s="547"/>
      <c r="W86" s="549"/>
    </row>
    <row r="87" spans="1:23">
      <c r="A87" s="565">
        <v>781</v>
      </c>
      <c r="B87" s="696" t="s">
        <v>5494</v>
      </c>
      <c r="C87" s="566">
        <f t="shared" si="1"/>
        <v>781</v>
      </c>
      <c r="D87" s="700" t="s">
        <v>2218</v>
      </c>
      <c r="E87" s="701" t="s">
        <v>7968</v>
      </c>
      <c r="F87" s="566">
        <v>1</v>
      </c>
      <c r="G87" s="662">
        <v>0</v>
      </c>
      <c r="H87" s="662">
        <v>0</v>
      </c>
      <c r="I87" s="662">
        <v>39160.315230063265</v>
      </c>
      <c r="J87" s="662">
        <v>40064.122764792206</v>
      </c>
      <c r="K87" s="566" t="s">
        <v>3868</v>
      </c>
      <c r="L87" s="549"/>
      <c r="M87" s="716"/>
      <c r="O87" s="716"/>
      <c r="S87" s="654"/>
      <c r="T87" s="547"/>
      <c r="U87" s="547"/>
      <c r="V87" s="547"/>
      <c r="W87" s="549"/>
    </row>
    <row r="88" spans="1:23">
      <c r="A88" s="565">
        <v>782</v>
      </c>
      <c r="B88" s="696" t="s">
        <v>5495</v>
      </c>
      <c r="C88" s="566">
        <f t="shared" si="1"/>
        <v>782</v>
      </c>
      <c r="D88" s="700" t="s">
        <v>2218</v>
      </c>
      <c r="E88" s="701" t="s">
        <v>7969</v>
      </c>
      <c r="F88" s="566">
        <v>1</v>
      </c>
      <c r="G88" s="662">
        <v>32823.545571468698</v>
      </c>
      <c r="H88" s="662">
        <v>0</v>
      </c>
      <c r="I88" s="662">
        <v>0</v>
      </c>
      <c r="J88" s="662">
        <v>0</v>
      </c>
      <c r="K88" s="566" t="s">
        <v>5175</v>
      </c>
      <c r="L88" s="549"/>
      <c r="M88" s="716"/>
      <c r="O88" s="716"/>
      <c r="S88" s="654"/>
      <c r="T88" s="547"/>
      <c r="U88" s="547"/>
      <c r="V88" s="547"/>
      <c r="W88" s="549"/>
    </row>
    <row r="89" spans="1:23">
      <c r="A89" s="565">
        <v>783</v>
      </c>
      <c r="B89" s="696" t="s">
        <v>5496</v>
      </c>
      <c r="C89" s="566">
        <f t="shared" si="1"/>
        <v>783</v>
      </c>
      <c r="D89" s="700" t="s">
        <v>2218</v>
      </c>
      <c r="E89" s="701" t="s">
        <v>7970</v>
      </c>
      <c r="F89" s="566">
        <v>1</v>
      </c>
      <c r="G89" s="662">
        <v>0</v>
      </c>
      <c r="H89" s="662">
        <v>18247.550296058311</v>
      </c>
      <c r="I89" s="662">
        <v>18638.741400632985</v>
      </c>
      <c r="J89" s="662">
        <v>19050.530566510442</v>
      </c>
      <c r="K89" s="566" t="s">
        <v>2992</v>
      </c>
      <c r="L89" s="549"/>
      <c r="M89" s="716"/>
      <c r="O89" s="716"/>
      <c r="S89" s="654"/>
      <c r="T89" s="547"/>
      <c r="U89" s="547"/>
      <c r="V89" s="547"/>
      <c r="W89" s="549"/>
    </row>
    <row r="90" spans="1:23">
      <c r="A90" s="565">
        <v>784</v>
      </c>
      <c r="B90" s="696" t="s">
        <v>5497</v>
      </c>
      <c r="C90" s="566">
        <f t="shared" si="1"/>
        <v>784</v>
      </c>
      <c r="D90" s="700" t="s">
        <v>2218</v>
      </c>
      <c r="E90" s="701" t="s">
        <v>7971</v>
      </c>
      <c r="F90" s="566">
        <v>1</v>
      </c>
      <c r="G90" s="662">
        <v>33599.316119724965</v>
      </c>
      <c r="H90" s="662">
        <v>0</v>
      </c>
      <c r="I90" s="662">
        <v>0</v>
      </c>
      <c r="J90" s="662">
        <v>0</v>
      </c>
      <c r="K90" s="566" t="s">
        <v>5176</v>
      </c>
      <c r="L90" s="549"/>
      <c r="M90" s="716"/>
      <c r="O90" s="716"/>
      <c r="S90" s="654"/>
      <c r="T90" s="547"/>
      <c r="U90" s="547"/>
      <c r="V90" s="547"/>
      <c r="W90" s="549"/>
    </row>
    <row r="91" spans="1:23">
      <c r="A91" s="565">
        <v>785</v>
      </c>
      <c r="B91" s="696" t="s">
        <v>5498</v>
      </c>
      <c r="C91" s="566">
        <f t="shared" si="1"/>
        <v>785</v>
      </c>
      <c r="D91" s="700" t="s">
        <v>2218</v>
      </c>
      <c r="E91" s="701" t="s">
        <v>7972</v>
      </c>
      <c r="F91" s="566">
        <v>1</v>
      </c>
      <c r="G91" s="662">
        <v>26128.79373536503</v>
      </c>
      <c r="H91" s="662">
        <v>26746.170233863442</v>
      </c>
      <c r="I91" s="662">
        <v>27396.041525968372</v>
      </c>
      <c r="J91" s="662">
        <v>28080.103633433861</v>
      </c>
      <c r="K91" s="566" t="s">
        <v>1810</v>
      </c>
      <c r="L91" s="549"/>
      <c r="M91" s="716"/>
      <c r="O91" s="716"/>
      <c r="S91" s="654"/>
      <c r="T91" s="547"/>
      <c r="U91" s="547"/>
      <c r="V91" s="547"/>
      <c r="W91" s="549"/>
    </row>
    <row r="92" spans="1:23">
      <c r="A92" s="565">
        <v>786</v>
      </c>
      <c r="B92" s="696" t="s">
        <v>5499</v>
      </c>
      <c r="C92" s="566">
        <f t="shared" si="1"/>
        <v>786</v>
      </c>
      <c r="D92" s="700" t="s">
        <v>2218</v>
      </c>
      <c r="E92" s="701" t="s">
        <v>7973</v>
      </c>
      <c r="F92" s="566">
        <v>1</v>
      </c>
      <c r="G92" s="662">
        <v>32298.648234681055</v>
      </c>
      <c r="H92" s="662">
        <v>33034.254655454315</v>
      </c>
      <c r="I92" s="662">
        <v>33808.574616265592</v>
      </c>
      <c r="J92" s="662">
        <v>34623.648259224843</v>
      </c>
      <c r="K92" s="566" t="s">
        <v>1811</v>
      </c>
      <c r="L92" s="549"/>
      <c r="M92" s="716"/>
      <c r="O92" s="716"/>
      <c r="S92" s="654"/>
      <c r="T92" s="547"/>
      <c r="U92" s="547"/>
      <c r="V92" s="547"/>
      <c r="W92" s="549"/>
    </row>
    <row r="93" spans="1:23">
      <c r="A93" s="565">
        <v>787</v>
      </c>
      <c r="B93" s="696" t="s">
        <v>5500</v>
      </c>
      <c r="C93" s="566">
        <f t="shared" si="1"/>
        <v>787</v>
      </c>
      <c r="D93" s="700" t="s">
        <v>2218</v>
      </c>
      <c r="E93" s="701" t="s">
        <v>7974</v>
      </c>
      <c r="F93" s="566">
        <v>1</v>
      </c>
      <c r="G93" s="662">
        <v>33780.711303257893</v>
      </c>
      <c r="H93" s="662">
        <v>0</v>
      </c>
      <c r="I93" s="662">
        <v>0</v>
      </c>
      <c r="J93" s="662">
        <v>0</v>
      </c>
      <c r="K93" s="566" t="s">
        <v>5177</v>
      </c>
      <c r="L93" s="549"/>
      <c r="M93" s="716"/>
      <c r="O93" s="716"/>
      <c r="S93" s="654"/>
      <c r="T93" s="547"/>
      <c r="U93" s="547"/>
      <c r="V93" s="547"/>
      <c r="W93" s="549"/>
    </row>
    <row r="94" spans="1:23">
      <c r="A94" s="565">
        <v>788</v>
      </c>
      <c r="B94" s="696" t="s">
        <v>5501</v>
      </c>
      <c r="C94" s="566">
        <f t="shared" si="1"/>
        <v>788</v>
      </c>
      <c r="D94" s="700" t="s">
        <v>2218</v>
      </c>
      <c r="E94" s="701" t="s">
        <v>7975</v>
      </c>
      <c r="F94" s="566">
        <v>1</v>
      </c>
      <c r="G94" s="662">
        <v>0</v>
      </c>
      <c r="H94" s="662">
        <v>0</v>
      </c>
      <c r="I94" s="662">
        <v>0</v>
      </c>
      <c r="J94" s="662">
        <v>30783.333751104095</v>
      </c>
      <c r="K94" s="566" t="s">
        <v>4607</v>
      </c>
      <c r="L94" s="549"/>
      <c r="M94" s="716"/>
      <c r="O94" s="716"/>
      <c r="S94" s="654"/>
      <c r="T94" s="547"/>
      <c r="U94" s="547"/>
      <c r="V94" s="547"/>
      <c r="W94" s="549"/>
    </row>
    <row r="95" spans="1:23">
      <c r="A95" s="565">
        <v>789</v>
      </c>
      <c r="B95" s="696" t="s">
        <v>5502</v>
      </c>
      <c r="C95" s="566">
        <f t="shared" si="1"/>
        <v>789</v>
      </c>
      <c r="D95" s="700" t="s">
        <v>2218</v>
      </c>
      <c r="E95" s="701" t="s">
        <v>7976</v>
      </c>
      <c r="F95" s="566">
        <v>1</v>
      </c>
      <c r="G95" s="662">
        <v>21548.958337957982</v>
      </c>
      <c r="H95" s="662">
        <v>0</v>
      </c>
      <c r="I95" s="662">
        <v>0</v>
      </c>
      <c r="J95" s="662">
        <v>0</v>
      </c>
      <c r="K95" s="566" t="s">
        <v>5178</v>
      </c>
      <c r="L95" s="549"/>
      <c r="M95" s="716"/>
      <c r="O95" s="716"/>
      <c r="S95" s="654"/>
      <c r="T95" s="547"/>
      <c r="U95" s="547"/>
      <c r="V95" s="547"/>
      <c r="W95" s="549"/>
    </row>
    <row r="96" spans="1:23">
      <c r="A96" s="565">
        <v>790</v>
      </c>
      <c r="B96" s="696" t="s">
        <v>5503</v>
      </c>
      <c r="C96" s="566">
        <f t="shared" si="1"/>
        <v>790</v>
      </c>
      <c r="D96" s="700" t="s">
        <v>2218</v>
      </c>
      <c r="E96" s="701" t="s">
        <v>7977</v>
      </c>
      <c r="F96" s="566">
        <v>1</v>
      </c>
      <c r="G96" s="662">
        <v>23692.243366307088</v>
      </c>
      <c r="H96" s="662">
        <v>0</v>
      </c>
      <c r="I96" s="662">
        <v>24829.97900296736</v>
      </c>
      <c r="J96" s="662">
        <v>25444.13551813563</v>
      </c>
      <c r="K96" s="566" t="s">
        <v>1812</v>
      </c>
      <c r="L96" s="549"/>
      <c r="M96" s="716"/>
      <c r="O96" s="716"/>
      <c r="S96" s="654"/>
      <c r="T96" s="547"/>
      <c r="U96" s="547"/>
      <c r="V96" s="547"/>
      <c r="W96" s="549"/>
    </row>
    <row r="97" spans="1:23">
      <c r="A97" s="565">
        <v>791</v>
      </c>
      <c r="B97" s="696" t="s">
        <v>5504</v>
      </c>
      <c r="C97" s="566">
        <f t="shared" si="1"/>
        <v>791</v>
      </c>
      <c r="D97" s="700" t="s">
        <v>2218</v>
      </c>
      <c r="E97" s="701" t="s">
        <v>7978</v>
      </c>
      <c r="F97" s="566">
        <v>1</v>
      </c>
      <c r="G97" s="662">
        <v>23034.366240990377</v>
      </c>
      <c r="H97" s="662">
        <v>23585.622471106391</v>
      </c>
      <c r="I97" s="662">
        <v>24165.883131219143</v>
      </c>
      <c r="J97" s="662">
        <v>24776.672182904735</v>
      </c>
      <c r="K97" s="566" t="s">
        <v>1813</v>
      </c>
      <c r="L97" s="549"/>
      <c r="M97" s="716"/>
      <c r="O97" s="716"/>
      <c r="S97" s="654"/>
      <c r="T97" s="547"/>
      <c r="U97" s="547"/>
      <c r="V97" s="547"/>
      <c r="W97" s="549"/>
    </row>
    <row r="98" spans="1:23">
      <c r="A98" s="565">
        <v>792</v>
      </c>
      <c r="B98" s="696" t="s">
        <v>5505</v>
      </c>
      <c r="C98" s="566">
        <f t="shared" si="1"/>
        <v>792</v>
      </c>
      <c r="D98" s="700" t="s">
        <v>2218</v>
      </c>
      <c r="E98" s="701" t="s">
        <v>7979</v>
      </c>
      <c r="F98" s="566">
        <v>1</v>
      </c>
      <c r="G98" s="662">
        <v>25768.754231216844</v>
      </c>
      <c r="H98" s="662">
        <v>0</v>
      </c>
      <c r="I98" s="662">
        <v>0</v>
      </c>
      <c r="J98" s="662">
        <v>0</v>
      </c>
      <c r="K98" s="566" t="s">
        <v>5179</v>
      </c>
      <c r="L98" s="549"/>
      <c r="M98" s="716"/>
      <c r="O98" s="716"/>
      <c r="S98" s="654"/>
      <c r="T98" s="547"/>
      <c r="U98" s="547"/>
      <c r="V98" s="547"/>
      <c r="W98" s="549"/>
    </row>
    <row r="99" spans="1:23">
      <c r="A99" s="565">
        <v>793</v>
      </c>
      <c r="B99" s="696" t="s">
        <v>5506</v>
      </c>
      <c r="C99" s="566">
        <f t="shared" si="1"/>
        <v>793</v>
      </c>
      <c r="D99" s="700" t="s">
        <v>2218</v>
      </c>
      <c r="E99" s="701" t="s">
        <v>7980</v>
      </c>
      <c r="F99" s="566">
        <v>1</v>
      </c>
      <c r="G99" s="662">
        <v>0</v>
      </c>
      <c r="H99" s="662">
        <v>0</v>
      </c>
      <c r="I99" s="662">
        <v>26575.147655106284</v>
      </c>
      <c r="J99" s="662">
        <v>27154.179313947985</v>
      </c>
      <c r="K99" s="566" t="s">
        <v>4608</v>
      </c>
      <c r="L99" s="549"/>
      <c r="M99" s="715"/>
      <c r="O99" s="716"/>
      <c r="S99" s="654"/>
      <c r="T99" s="547"/>
      <c r="U99" s="547"/>
      <c r="V99" s="547"/>
      <c r="W99" s="549"/>
    </row>
    <row r="100" spans="1:23">
      <c r="A100" s="565">
        <v>794</v>
      </c>
      <c r="B100" s="696" t="s">
        <v>5507</v>
      </c>
      <c r="C100" s="566">
        <f t="shared" si="1"/>
        <v>794</v>
      </c>
      <c r="D100" s="700" t="s">
        <v>2218</v>
      </c>
      <c r="E100" s="701" t="s">
        <v>7981</v>
      </c>
      <c r="F100" s="566">
        <v>1</v>
      </c>
      <c r="G100" s="662">
        <v>0</v>
      </c>
      <c r="H100" s="662">
        <v>0</v>
      </c>
      <c r="I100" s="662">
        <v>25092.591583940455</v>
      </c>
      <c r="J100" s="662">
        <v>25651.590522064078</v>
      </c>
      <c r="K100" s="566" t="s">
        <v>3869</v>
      </c>
      <c r="L100" s="549"/>
      <c r="M100" s="715"/>
      <c r="O100" s="716"/>
      <c r="S100" s="654"/>
      <c r="T100" s="547"/>
      <c r="U100" s="547"/>
      <c r="V100" s="547"/>
      <c r="W100" s="549"/>
    </row>
    <row r="101" spans="1:23">
      <c r="A101" s="565">
        <v>795</v>
      </c>
      <c r="B101" s="696" t="s">
        <v>5508</v>
      </c>
      <c r="C101" s="566">
        <f t="shared" si="1"/>
        <v>795</v>
      </c>
      <c r="D101" s="700" t="s">
        <v>2218</v>
      </c>
      <c r="E101" s="701" t="s">
        <v>7982</v>
      </c>
      <c r="F101" s="566">
        <v>1</v>
      </c>
      <c r="G101" s="662">
        <v>0</v>
      </c>
      <c r="H101" s="662">
        <v>0</v>
      </c>
      <c r="I101" s="662">
        <v>26161.38706608722</v>
      </c>
      <c r="J101" s="662">
        <v>26746.563731284165</v>
      </c>
      <c r="K101" s="566" t="s">
        <v>3870</v>
      </c>
      <c r="L101" s="549"/>
      <c r="M101" s="715"/>
      <c r="O101" s="716"/>
      <c r="S101" s="654"/>
      <c r="T101" s="547"/>
      <c r="U101" s="547"/>
      <c r="V101" s="547"/>
      <c r="W101" s="549"/>
    </row>
    <row r="102" spans="1:23">
      <c r="A102" s="565">
        <v>796</v>
      </c>
      <c r="B102" s="696" t="s">
        <v>5509</v>
      </c>
      <c r="C102" s="566">
        <f t="shared" si="1"/>
        <v>796</v>
      </c>
      <c r="D102" s="700" t="s">
        <v>2218</v>
      </c>
      <c r="E102" s="701" t="s">
        <v>7983</v>
      </c>
      <c r="F102" s="566">
        <v>1</v>
      </c>
      <c r="G102" s="662">
        <v>31485.082754553925</v>
      </c>
      <c r="H102" s="662">
        <v>0</v>
      </c>
      <c r="I102" s="662">
        <v>0</v>
      </c>
      <c r="J102" s="662">
        <v>0</v>
      </c>
      <c r="K102" s="566" t="s">
        <v>5180</v>
      </c>
      <c r="L102" s="549"/>
      <c r="M102" s="715"/>
      <c r="O102" s="716"/>
      <c r="S102" s="654"/>
      <c r="T102" s="547"/>
      <c r="U102" s="547"/>
      <c r="V102" s="547"/>
      <c r="W102" s="549"/>
    </row>
    <row r="103" spans="1:23">
      <c r="A103" s="565">
        <v>797</v>
      </c>
      <c r="B103" s="696" t="s">
        <v>5510</v>
      </c>
      <c r="C103" s="566">
        <f t="shared" si="1"/>
        <v>797</v>
      </c>
      <c r="D103" s="700" t="s">
        <v>2218</v>
      </c>
      <c r="E103" s="701" t="s">
        <v>7984</v>
      </c>
      <c r="F103" s="566">
        <v>1</v>
      </c>
      <c r="G103" s="662">
        <v>29933.36202867861</v>
      </c>
      <c r="H103" s="662">
        <v>30591.659706116563</v>
      </c>
      <c r="I103" s="662">
        <v>31284.598313776387</v>
      </c>
      <c r="J103" s="662">
        <v>32014.017901069397</v>
      </c>
      <c r="K103" s="566" t="s">
        <v>1814</v>
      </c>
      <c r="L103" s="549"/>
      <c r="M103" s="715"/>
      <c r="O103" s="716"/>
      <c r="S103" s="654"/>
      <c r="T103" s="547"/>
      <c r="U103" s="547"/>
      <c r="V103" s="547"/>
      <c r="W103" s="549"/>
    </row>
    <row r="104" spans="1:23">
      <c r="A104" s="565">
        <v>798</v>
      </c>
      <c r="B104" s="696" t="s">
        <v>5511</v>
      </c>
      <c r="C104" s="566">
        <f t="shared" si="1"/>
        <v>798</v>
      </c>
      <c r="D104" s="700" t="s">
        <v>2218</v>
      </c>
      <c r="E104" s="701" t="s">
        <v>7985</v>
      </c>
      <c r="F104" s="566">
        <v>1</v>
      </c>
      <c r="G104" s="662">
        <v>31743.702875533148</v>
      </c>
      <c r="H104" s="662">
        <v>32445.101710377639</v>
      </c>
      <c r="I104" s="662">
        <v>33183.441537208157</v>
      </c>
      <c r="J104" s="662">
        <v>33960.622407047253</v>
      </c>
      <c r="K104" s="566" t="s">
        <v>1815</v>
      </c>
      <c r="L104" s="549"/>
      <c r="M104" s="715"/>
      <c r="O104" s="716"/>
      <c r="S104" s="654"/>
      <c r="T104" s="547"/>
      <c r="U104" s="547"/>
      <c r="V104" s="547"/>
      <c r="W104" s="549"/>
    </row>
    <row r="105" spans="1:23">
      <c r="A105" s="565">
        <v>799</v>
      </c>
      <c r="B105" s="696" t="s">
        <v>5512</v>
      </c>
      <c r="C105" s="566">
        <f t="shared" si="1"/>
        <v>799</v>
      </c>
      <c r="D105" s="700" t="s">
        <v>2218</v>
      </c>
      <c r="E105" s="701" t="s">
        <v>7986</v>
      </c>
      <c r="F105" s="566">
        <v>1</v>
      </c>
      <c r="G105" s="662">
        <v>0</v>
      </c>
      <c r="H105" s="662">
        <v>0</v>
      </c>
      <c r="I105" s="662">
        <v>36579.899137844557</v>
      </c>
      <c r="J105" s="662">
        <v>37396.461065193384</v>
      </c>
      <c r="K105" s="566" t="s">
        <v>3871</v>
      </c>
      <c r="L105" s="549"/>
      <c r="M105" s="715"/>
      <c r="O105" s="716"/>
      <c r="S105" s="654"/>
      <c r="T105" s="547"/>
      <c r="U105" s="547"/>
      <c r="V105" s="547"/>
      <c r="W105" s="549"/>
    </row>
    <row r="106" spans="1:23">
      <c r="A106" s="565">
        <v>800</v>
      </c>
      <c r="B106" s="696" t="s">
        <v>5513</v>
      </c>
      <c r="C106" s="566">
        <f t="shared" si="1"/>
        <v>800</v>
      </c>
      <c r="D106" s="700" t="s">
        <v>2218</v>
      </c>
      <c r="E106" s="701" t="s">
        <v>7987</v>
      </c>
      <c r="F106" s="566">
        <v>1</v>
      </c>
      <c r="G106" s="662">
        <v>35002.316399871321</v>
      </c>
      <c r="H106" s="662">
        <v>0</v>
      </c>
      <c r="I106" s="662">
        <v>0</v>
      </c>
      <c r="J106" s="662">
        <v>0</v>
      </c>
      <c r="K106" s="566" t="s">
        <v>5181</v>
      </c>
      <c r="L106" s="549"/>
      <c r="M106" s="715"/>
      <c r="O106" s="716"/>
      <c r="S106" s="654"/>
      <c r="T106" s="547"/>
      <c r="U106" s="547"/>
      <c r="V106" s="547"/>
      <c r="W106" s="549"/>
    </row>
    <row r="107" spans="1:23">
      <c r="A107" s="565">
        <v>801</v>
      </c>
      <c r="B107" s="696" t="s">
        <v>5514</v>
      </c>
      <c r="C107" s="566">
        <f t="shared" si="1"/>
        <v>801</v>
      </c>
      <c r="D107" s="700" t="s">
        <v>2218</v>
      </c>
      <c r="E107" s="701" t="s">
        <v>7988</v>
      </c>
      <c r="F107" s="566">
        <v>1</v>
      </c>
      <c r="G107" s="662">
        <v>34071.283964346127</v>
      </c>
      <c r="H107" s="662">
        <v>34828.104287438189</v>
      </c>
      <c r="I107" s="662">
        <v>35624.765680392818</v>
      </c>
      <c r="J107" s="662">
        <v>36463.348199066284</v>
      </c>
      <c r="K107" s="566" t="s">
        <v>1816</v>
      </c>
      <c r="L107" s="549"/>
      <c r="M107" s="715"/>
      <c r="O107" s="716"/>
      <c r="S107" s="654"/>
      <c r="T107" s="547"/>
      <c r="U107" s="547"/>
      <c r="V107" s="547"/>
      <c r="W107" s="549"/>
    </row>
    <row r="108" spans="1:23">
      <c r="A108" s="565">
        <v>802</v>
      </c>
      <c r="B108" s="696" t="s">
        <v>5515</v>
      </c>
      <c r="C108" s="566">
        <f t="shared" si="1"/>
        <v>802</v>
      </c>
      <c r="D108" s="700" t="s">
        <v>2218</v>
      </c>
      <c r="E108" s="701" t="s">
        <v>7989</v>
      </c>
      <c r="F108" s="566">
        <v>1</v>
      </c>
      <c r="G108" s="662">
        <v>0</v>
      </c>
      <c r="H108" s="662">
        <v>0</v>
      </c>
      <c r="I108" s="662">
        <v>29563.336317123729</v>
      </c>
      <c r="J108" s="662">
        <v>30212.813757709577</v>
      </c>
      <c r="K108" s="566" t="s">
        <v>3872</v>
      </c>
      <c r="L108" s="549"/>
      <c r="M108" s="715"/>
      <c r="O108" s="716"/>
      <c r="S108" s="654"/>
      <c r="T108" s="547"/>
      <c r="U108" s="547"/>
      <c r="V108" s="547"/>
      <c r="W108" s="549"/>
    </row>
    <row r="109" spans="1:23">
      <c r="A109" s="565">
        <v>803</v>
      </c>
      <c r="B109" s="696" t="s">
        <v>5516</v>
      </c>
      <c r="C109" s="566">
        <f t="shared" si="1"/>
        <v>803</v>
      </c>
      <c r="D109" s="700" t="s">
        <v>2218</v>
      </c>
      <c r="E109" s="701" t="s">
        <v>7990</v>
      </c>
      <c r="F109" s="566">
        <v>1</v>
      </c>
      <c r="G109" s="662">
        <v>34636.650618026972</v>
      </c>
      <c r="H109" s="662">
        <v>35429.791916455586</v>
      </c>
      <c r="I109" s="662">
        <v>36264.674335769341</v>
      </c>
      <c r="J109" s="662">
        <v>37143.497935046958</v>
      </c>
      <c r="K109" s="566" t="s">
        <v>1817</v>
      </c>
      <c r="L109" s="549"/>
      <c r="M109" s="715"/>
      <c r="O109" s="716"/>
      <c r="S109" s="654"/>
      <c r="T109" s="547"/>
      <c r="U109" s="547"/>
      <c r="V109" s="547"/>
      <c r="W109" s="549"/>
    </row>
    <row r="110" spans="1:23">
      <c r="A110" s="565">
        <v>804</v>
      </c>
      <c r="B110" s="696" t="s">
        <v>5517</v>
      </c>
      <c r="C110" s="566">
        <f t="shared" si="1"/>
        <v>804</v>
      </c>
      <c r="D110" s="700" t="s">
        <v>2218</v>
      </c>
      <c r="E110" s="701" t="s">
        <v>7991</v>
      </c>
      <c r="F110" s="566">
        <v>1</v>
      </c>
      <c r="G110" s="662">
        <v>0</v>
      </c>
      <c r="H110" s="662">
        <v>25760.214184856432</v>
      </c>
      <c r="I110" s="662">
        <v>26335.729639321919</v>
      </c>
      <c r="J110" s="662">
        <v>26941.525906925926</v>
      </c>
      <c r="K110" s="566" t="s">
        <v>2993</v>
      </c>
      <c r="L110" s="549"/>
      <c r="M110" s="715"/>
      <c r="O110" s="716"/>
      <c r="S110" s="654"/>
      <c r="T110" s="547"/>
      <c r="U110" s="547"/>
      <c r="V110" s="547"/>
      <c r="W110" s="549"/>
    </row>
    <row r="111" spans="1:23">
      <c r="A111" s="565">
        <v>805</v>
      </c>
      <c r="B111" s="696" t="s">
        <v>5518</v>
      </c>
      <c r="C111" s="566">
        <f t="shared" si="1"/>
        <v>805</v>
      </c>
      <c r="D111" s="700" t="s">
        <v>2218</v>
      </c>
      <c r="E111" s="701" t="s">
        <v>7992</v>
      </c>
      <c r="F111" s="566">
        <v>1</v>
      </c>
      <c r="G111" s="662">
        <v>31510.94476665185</v>
      </c>
      <c r="H111" s="662">
        <v>0</v>
      </c>
      <c r="I111" s="662">
        <v>0</v>
      </c>
      <c r="J111" s="662">
        <v>0</v>
      </c>
      <c r="K111" s="566" t="s">
        <v>5182</v>
      </c>
      <c r="L111" s="549"/>
      <c r="M111" s="715"/>
      <c r="O111" s="716"/>
      <c r="S111" s="654"/>
      <c r="T111" s="547"/>
      <c r="U111" s="547"/>
      <c r="V111" s="547"/>
      <c r="W111" s="549"/>
    </row>
    <row r="112" spans="1:23">
      <c r="A112" s="565">
        <v>806</v>
      </c>
      <c r="B112" s="696" t="s">
        <v>5519</v>
      </c>
      <c r="C112" s="566">
        <f t="shared" si="1"/>
        <v>806</v>
      </c>
      <c r="D112" s="700" t="s">
        <v>2218</v>
      </c>
      <c r="E112" s="701" t="s">
        <v>7993</v>
      </c>
      <c r="F112" s="566">
        <v>1</v>
      </c>
      <c r="G112" s="662">
        <v>25510.957959933963</v>
      </c>
      <c r="H112" s="662">
        <v>26063.952809647813</v>
      </c>
      <c r="I112" s="662">
        <v>0</v>
      </c>
      <c r="J112" s="662">
        <v>0</v>
      </c>
      <c r="K112" s="566" t="s">
        <v>1818</v>
      </c>
      <c r="L112" s="549"/>
      <c r="M112" s="715"/>
      <c r="O112" s="716"/>
      <c r="S112" s="654"/>
      <c r="T112" s="547"/>
      <c r="U112" s="547"/>
      <c r="V112" s="547"/>
      <c r="W112" s="549"/>
    </row>
    <row r="113" spans="1:23">
      <c r="A113" s="565">
        <v>807</v>
      </c>
      <c r="B113" s="696" t="s">
        <v>5520</v>
      </c>
      <c r="C113" s="566">
        <f t="shared" si="1"/>
        <v>807</v>
      </c>
      <c r="D113" s="700" t="s">
        <v>2218</v>
      </c>
      <c r="E113" s="701" t="s">
        <v>7994</v>
      </c>
      <c r="F113" s="566">
        <v>1</v>
      </c>
      <c r="G113" s="662">
        <v>0</v>
      </c>
      <c r="H113" s="662">
        <v>0</v>
      </c>
      <c r="I113" s="662">
        <v>28807.369809646007</v>
      </c>
      <c r="J113" s="662">
        <v>29438.846766860217</v>
      </c>
      <c r="K113" s="566" t="s">
        <v>3873</v>
      </c>
      <c r="L113" s="549"/>
      <c r="M113" s="715"/>
      <c r="O113" s="716"/>
      <c r="S113" s="654"/>
      <c r="T113" s="547"/>
      <c r="U113" s="547"/>
      <c r="V113" s="547"/>
      <c r="W113" s="549"/>
    </row>
    <row r="114" spans="1:23">
      <c r="A114" s="565">
        <v>808</v>
      </c>
      <c r="B114" s="696" t="s">
        <v>5521</v>
      </c>
      <c r="C114" s="566">
        <f t="shared" si="1"/>
        <v>808</v>
      </c>
      <c r="D114" s="700" t="s">
        <v>2218</v>
      </c>
      <c r="E114" s="701" t="s">
        <v>7995</v>
      </c>
      <c r="F114" s="566">
        <v>1</v>
      </c>
      <c r="G114" s="662">
        <v>29885.903860950901</v>
      </c>
      <c r="H114" s="662">
        <v>0</v>
      </c>
      <c r="I114" s="662">
        <v>0</v>
      </c>
      <c r="J114" s="662">
        <v>0</v>
      </c>
      <c r="K114" s="566" t="s">
        <v>5183</v>
      </c>
      <c r="L114" s="549"/>
      <c r="M114" s="715"/>
      <c r="O114" s="716"/>
      <c r="S114" s="654"/>
      <c r="T114" s="547"/>
      <c r="U114" s="547"/>
      <c r="V114" s="547"/>
      <c r="W114" s="549"/>
    </row>
    <row r="115" spans="1:23">
      <c r="A115" s="565">
        <v>809</v>
      </c>
      <c r="B115" s="696" t="s">
        <v>5522</v>
      </c>
      <c r="C115" s="566">
        <f t="shared" si="1"/>
        <v>809</v>
      </c>
      <c r="D115" s="700" t="s">
        <v>2218</v>
      </c>
      <c r="E115" s="701" t="s">
        <v>7996</v>
      </c>
      <c r="F115" s="566">
        <v>1</v>
      </c>
      <c r="G115" s="662">
        <v>0</v>
      </c>
      <c r="H115" s="662">
        <v>0</v>
      </c>
      <c r="I115" s="662">
        <v>31254.31403121863</v>
      </c>
      <c r="J115" s="662">
        <v>31944.072553482787</v>
      </c>
      <c r="K115" s="566" t="s">
        <v>3874</v>
      </c>
      <c r="L115" s="549"/>
      <c r="M115" s="715"/>
      <c r="O115" s="716"/>
      <c r="S115" s="654"/>
      <c r="T115" s="547"/>
      <c r="U115" s="547"/>
      <c r="V115" s="547"/>
      <c r="W115" s="549"/>
    </row>
    <row r="116" spans="1:23">
      <c r="A116" s="565">
        <v>810</v>
      </c>
      <c r="B116" s="696" t="s">
        <v>5523</v>
      </c>
      <c r="C116" s="566">
        <f t="shared" si="1"/>
        <v>810</v>
      </c>
      <c r="D116" s="700" t="s">
        <v>2218</v>
      </c>
      <c r="E116" s="701" t="s">
        <v>7997</v>
      </c>
      <c r="F116" s="566">
        <v>1</v>
      </c>
      <c r="G116" s="662">
        <v>0</v>
      </c>
      <c r="H116" s="662">
        <v>0</v>
      </c>
      <c r="I116" s="662">
        <v>0</v>
      </c>
      <c r="J116" s="662">
        <v>32207.22970774975</v>
      </c>
      <c r="K116" s="566" t="s">
        <v>4609</v>
      </c>
      <c r="L116" s="549"/>
      <c r="M116" s="715"/>
      <c r="O116" s="716"/>
      <c r="S116" s="654"/>
      <c r="T116" s="547"/>
      <c r="U116" s="547"/>
      <c r="V116" s="547"/>
      <c r="W116" s="549"/>
    </row>
    <row r="117" spans="1:23">
      <c r="A117" s="565">
        <v>811</v>
      </c>
      <c r="B117" s="696" t="s">
        <v>5524</v>
      </c>
      <c r="C117" s="566">
        <f t="shared" si="1"/>
        <v>811</v>
      </c>
      <c r="D117" s="700" t="s">
        <v>2218</v>
      </c>
      <c r="E117" s="701" t="s">
        <v>7998</v>
      </c>
      <c r="F117" s="566">
        <v>1</v>
      </c>
      <c r="G117" s="662">
        <v>0</v>
      </c>
      <c r="H117" s="662">
        <v>33784.419941982618</v>
      </c>
      <c r="I117" s="662">
        <v>34596.48174848855</v>
      </c>
      <c r="J117" s="662">
        <v>35365.822407792439</v>
      </c>
      <c r="K117" s="566" t="s">
        <v>3875</v>
      </c>
      <c r="L117" s="549"/>
      <c r="M117" s="715"/>
      <c r="O117" s="716"/>
      <c r="S117" s="654"/>
      <c r="T117" s="547"/>
      <c r="U117" s="547"/>
      <c r="V117" s="547"/>
      <c r="W117" s="549"/>
    </row>
    <row r="118" spans="1:23">
      <c r="A118" s="565">
        <v>812</v>
      </c>
      <c r="B118" s="696" t="s">
        <v>5525</v>
      </c>
      <c r="C118" s="566">
        <f t="shared" si="1"/>
        <v>812</v>
      </c>
      <c r="D118" s="700" t="s">
        <v>2218</v>
      </c>
      <c r="E118" s="701" t="s">
        <v>7999</v>
      </c>
      <c r="F118" s="566">
        <v>1</v>
      </c>
      <c r="G118" s="662">
        <v>0</v>
      </c>
      <c r="H118" s="662">
        <v>0</v>
      </c>
      <c r="I118" s="662">
        <v>35424.066135622044</v>
      </c>
      <c r="J118" s="662">
        <v>36213.107323949349</v>
      </c>
      <c r="K118" s="566" t="s">
        <v>3876</v>
      </c>
      <c r="L118" s="549"/>
      <c r="M118" s="715"/>
      <c r="O118" s="716"/>
      <c r="S118" s="654"/>
      <c r="T118" s="547"/>
      <c r="U118" s="547"/>
      <c r="V118" s="547"/>
      <c r="W118" s="549"/>
    </row>
    <row r="119" spans="1:23">
      <c r="A119" s="565">
        <v>813</v>
      </c>
      <c r="B119" s="696" t="s">
        <v>5526</v>
      </c>
      <c r="C119" s="566">
        <f t="shared" si="1"/>
        <v>813</v>
      </c>
      <c r="D119" s="700" t="s">
        <v>2218</v>
      </c>
      <c r="E119" s="701" t="s">
        <v>8000</v>
      </c>
      <c r="F119" s="566">
        <v>1</v>
      </c>
      <c r="G119" s="662">
        <v>34226.456036933654</v>
      </c>
      <c r="H119" s="662">
        <v>0</v>
      </c>
      <c r="I119" s="662">
        <v>0</v>
      </c>
      <c r="J119" s="662">
        <v>0</v>
      </c>
      <c r="K119" s="566" t="s">
        <v>5184</v>
      </c>
      <c r="L119" s="549"/>
      <c r="M119" s="715"/>
      <c r="O119" s="716"/>
      <c r="S119" s="654"/>
      <c r="T119" s="547"/>
      <c r="U119" s="547"/>
      <c r="V119" s="547"/>
      <c r="W119" s="549"/>
    </row>
    <row r="120" spans="1:23">
      <c r="A120" s="565">
        <v>814</v>
      </c>
      <c r="B120" s="696" t="s">
        <v>5527</v>
      </c>
      <c r="C120" s="566">
        <f t="shared" si="1"/>
        <v>814</v>
      </c>
      <c r="D120" s="700" t="s">
        <v>2218</v>
      </c>
      <c r="E120" s="701" t="s">
        <v>8001</v>
      </c>
      <c r="F120" s="566">
        <v>1</v>
      </c>
      <c r="G120" s="662">
        <v>33518.04190944459</v>
      </c>
      <c r="H120" s="662">
        <v>0</v>
      </c>
      <c r="I120" s="662">
        <v>0</v>
      </c>
      <c r="J120" s="662">
        <v>0</v>
      </c>
      <c r="K120" s="566" t="s">
        <v>5185</v>
      </c>
      <c r="L120" s="549"/>
      <c r="M120" s="715"/>
      <c r="O120" s="716"/>
      <c r="S120" s="654"/>
      <c r="T120" s="547"/>
      <c r="U120" s="547"/>
      <c r="V120" s="547"/>
      <c r="W120" s="549"/>
    </row>
    <row r="121" spans="1:23">
      <c r="A121" s="565">
        <v>815</v>
      </c>
      <c r="B121" s="696" t="s">
        <v>5528</v>
      </c>
      <c r="C121" s="566">
        <f t="shared" si="1"/>
        <v>815</v>
      </c>
      <c r="D121" s="700" t="s">
        <v>2218</v>
      </c>
      <c r="E121" s="701" t="s">
        <v>8002</v>
      </c>
      <c r="F121" s="566">
        <v>1</v>
      </c>
      <c r="G121" s="662">
        <v>0</v>
      </c>
      <c r="H121" s="662">
        <v>0</v>
      </c>
      <c r="I121" s="662">
        <v>30300.016551489109</v>
      </c>
      <c r="J121" s="662">
        <v>31008.710816299514</v>
      </c>
      <c r="K121" s="566" t="s">
        <v>3877</v>
      </c>
      <c r="L121" s="549"/>
      <c r="M121" s="715"/>
      <c r="O121" s="716"/>
      <c r="S121" s="654"/>
      <c r="T121" s="547"/>
      <c r="U121" s="547"/>
      <c r="V121" s="547"/>
      <c r="W121" s="549"/>
    </row>
    <row r="122" spans="1:23">
      <c r="A122" s="565">
        <v>816</v>
      </c>
      <c r="B122" s="696" t="s">
        <v>5529</v>
      </c>
      <c r="C122" s="566">
        <f t="shared" si="1"/>
        <v>816</v>
      </c>
      <c r="D122" s="700" t="s">
        <v>2218</v>
      </c>
      <c r="E122" s="701" t="s">
        <v>8003</v>
      </c>
      <c r="F122" s="566">
        <v>1</v>
      </c>
      <c r="G122" s="662">
        <v>0</v>
      </c>
      <c r="H122" s="662">
        <v>0</v>
      </c>
      <c r="I122" s="662">
        <v>34322.77383677425</v>
      </c>
      <c r="J122" s="662">
        <v>35133.222562400675</v>
      </c>
      <c r="K122" s="566" t="s">
        <v>3878</v>
      </c>
      <c r="L122" s="549"/>
      <c r="M122" s="715"/>
      <c r="O122" s="716"/>
      <c r="S122" s="654"/>
      <c r="T122" s="547"/>
      <c r="U122" s="547"/>
      <c r="V122" s="547"/>
      <c r="W122" s="549"/>
    </row>
    <row r="123" spans="1:23">
      <c r="A123" s="565">
        <v>817</v>
      </c>
      <c r="B123" s="696" t="s">
        <v>5530</v>
      </c>
      <c r="C123" s="566">
        <f t="shared" si="1"/>
        <v>817</v>
      </c>
      <c r="D123" s="700" t="s">
        <v>2218</v>
      </c>
      <c r="E123" s="701" t="s">
        <v>8004</v>
      </c>
      <c r="F123" s="566">
        <v>1</v>
      </c>
      <c r="G123" s="662">
        <v>0</v>
      </c>
      <c r="H123" s="662">
        <v>30444.19412394274</v>
      </c>
      <c r="I123" s="662">
        <v>31865.968781920183</v>
      </c>
      <c r="J123" s="662">
        <v>32614.268298967832</v>
      </c>
      <c r="K123" s="566" t="s">
        <v>3879</v>
      </c>
      <c r="L123" s="549"/>
      <c r="M123" s="715"/>
      <c r="O123" s="716"/>
      <c r="S123" s="654"/>
      <c r="T123" s="547"/>
      <c r="U123" s="547"/>
      <c r="V123" s="547"/>
      <c r="W123" s="549"/>
    </row>
    <row r="124" spans="1:23">
      <c r="A124" s="565">
        <v>818</v>
      </c>
      <c r="B124" s="696" t="s">
        <v>5531</v>
      </c>
      <c r="C124" s="566">
        <f t="shared" si="1"/>
        <v>818</v>
      </c>
      <c r="D124" s="700" t="s">
        <v>2218</v>
      </c>
      <c r="E124" s="701" t="s">
        <v>8005</v>
      </c>
      <c r="F124" s="566">
        <v>1</v>
      </c>
      <c r="G124" s="662">
        <v>0</v>
      </c>
      <c r="H124" s="662">
        <v>0</v>
      </c>
      <c r="I124" s="662">
        <v>25602.159860195912</v>
      </c>
      <c r="J124" s="662">
        <v>26192.001197715254</v>
      </c>
      <c r="K124" s="566" t="s">
        <v>3880</v>
      </c>
      <c r="L124" s="549"/>
      <c r="M124" s="715"/>
      <c r="O124" s="716"/>
      <c r="S124" s="654"/>
      <c r="T124" s="547"/>
      <c r="U124" s="547"/>
      <c r="V124" s="547"/>
      <c r="W124" s="549"/>
    </row>
    <row r="125" spans="1:23">
      <c r="A125" s="565">
        <v>819</v>
      </c>
      <c r="B125" s="696" t="s">
        <v>5532</v>
      </c>
      <c r="C125" s="566">
        <f t="shared" si="1"/>
        <v>819</v>
      </c>
      <c r="D125" s="700" t="s">
        <v>2218</v>
      </c>
      <c r="E125" s="701" t="s">
        <v>8006</v>
      </c>
      <c r="F125" s="566">
        <v>1</v>
      </c>
      <c r="G125" s="662">
        <v>0</v>
      </c>
      <c r="H125" s="662">
        <v>0</v>
      </c>
      <c r="I125" s="662">
        <v>27168.112090626983</v>
      </c>
      <c r="J125" s="662">
        <v>27797.558680383572</v>
      </c>
      <c r="K125" s="566" t="s">
        <v>3881</v>
      </c>
      <c r="L125" s="549"/>
      <c r="M125" s="715"/>
      <c r="O125" s="716"/>
      <c r="S125" s="654"/>
      <c r="T125" s="547"/>
      <c r="U125" s="547"/>
      <c r="V125" s="547"/>
      <c r="W125" s="549"/>
    </row>
    <row r="126" spans="1:23">
      <c r="A126" s="565">
        <v>820</v>
      </c>
      <c r="B126" s="696" t="s">
        <v>5533</v>
      </c>
      <c r="C126" s="566">
        <f t="shared" si="1"/>
        <v>820</v>
      </c>
      <c r="D126" s="700" t="s">
        <v>2218</v>
      </c>
      <c r="E126" s="701" t="s">
        <v>8007</v>
      </c>
      <c r="F126" s="566">
        <v>1</v>
      </c>
      <c r="G126" s="662">
        <v>0</v>
      </c>
      <c r="H126" s="662">
        <v>32500.377784732107</v>
      </c>
      <c r="I126" s="662">
        <v>33329.33745884672</v>
      </c>
      <c r="J126" s="662">
        <v>34114.658872870714</v>
      </c>
      <c r="K126" s="566" t="s">
        <v>2994</v>
      </c>
      <c r="L126" s="549"/>
      <c r="M126" s="715"/>
      <c r="O126" s="716"/>
      <c r="S126" s="654"/>
      <c r="T126" s="547"/>
      <c r="U126" s="547"/>
      <c r="V126" s="547"/>
      <c r="W126" s="549"/>
    </row>
    <row r="127" spans="1:23">
      <c r="A127" s="565">
        <v>821</v>
      </c>
      <c r="B127" s="696" t="s">
        <v>5534</v>
      </c>
      <c r="C127" s="566">
        <f t="shared" si="1"/>
        <v>821</v>
      </c>
      <c r="D127" s="700" t="s">
        <v>2218</v>
      </c>
      <c r="E127" s="701" t="s">
        <v>8008</v>
      </c>
      <c r="F127" s="566">
        <v>1</v>
      </c>
      <c r="G127" s="662">
        <v>27178.574484657045</v>
      </c>
      <c r="H127" s="662">
        <v>27842.775566053089</v>
      </c>
      <c r="I127" s="662">
        <v>28541.95416256434</v>
      </c>
      <c r="J127" s="662">
        <v>29277.931632576194</v>
      </c>
      <c r="K127" s="566" t="s">
        <v>1819</v>
      </c>
      <c r="L127" s="549"/>
      <c r="M127" s="715"/>
      <c r="O127" s="716"/>
      <c r="S127" s="654"/>
      <c r="T127" s="547"/>
      <c r="U127" s="547"/>
      <c r="V127" s="547"/>
      <c r="W127" s="549"/>
    </row>
    <row r="128" spans="1:23">
      <c r="A128" s="565">
        <v>822</v>
      </c>
      <c r="B128" s="696" t="s">
        <v>5535</v>
      </c>
      <c r="C128" s="566">
        <f t="shared" si="1"/>
        <v>822</v>
      </c>
      <c r="D128" s="700" t="s">
        <v>2218</v>
      </c>
      <c r="E128" s="701" t="s">
        <v>8009</v>
      </c>
      <c r="F128" s="566">
        <v>1</v>
      </c>
      <c r="G128" s="662">
        <v>25257.53990458007</v>
      </c>
      <c r="H128" s="662">
        <v>0</v>
      </c>
      <c r="I128" s="662">
        <v>0</v>
      </c>
      <c r="J128" s="662">
        <v>0</v>
      </c>
      <c r="K128" s="566" t="s">
        <v>5186</v>
      </c>
      <c r="L128" s="549"/>
      <c r="M128" s="715"/>
      <c r="O128" s="716"/>
      <c r="S128" s="654"/>
      <c r="T128" s="547"/>
      <c r="U128" s="547"/>
      <c r="V128" s="547"/>
      <c r="W128" s="549"/>
    </row>
    <row r="129" spans="1:23">
      <c r="A129" s="565">
        <v>823</v>
      </c>
      <c r="B129" s="696" t="s">
        <v>5536</v>
      </c>
      <c r="C129" s="566">
        <f t="shared" si="1"/>
        <v>823</v>
      </c>
      <c r="D129" s="700" t="s">
        <v>2218</v>
      </c>
      <c r="E129" s="701" t="s">
        <v>8010</v>
      </c>
      <c r="F129" s="566">
        <v>1</v>
      </c>
      <c r="G129" s="662">
        <v>0</v>
      </c>
      <c r="H129" s="662">
        <v>0</v>
      </c>
      <c r="I129" s="662">
        <v>26994.117398356855</v>
      </c>
      <c r="J129" s="662">
        <v>27619.177859756823</v>
      </c>
      <c r="K129" s="566" t="s">
        <v>3882</v>
      </c>
      <c r="L129" s="549"/>
      <c r="M129" s="715"/>
      <c r="O129" s="716"/>
      <c r="S129" s="654"/>
      <c r="T129" s="547"/>
      <c r="U129" s="547"/>
      <c r="V129" s="547"/>
      <c r="W129" s="549"/>
    </row>
    <row r="130" spans="1:23">
      <c r="A130" s="565">
        <v>824</v>
      </c>
      <c r="B130" s="696" t="s">
        <v>5537</v>
      </c>
      <c r="C130" s="566">
        <f t="shared" si="1"/>
        <v>824</v>
      </c>
      <c r="D130" s="700" t="s">
        <v>2218</v>
      </c>
      <c r="E130" s="701" t="s">
        <v>8011</v>
      </c>
      <c r="F130" s="566">
        <v>1</v>
      </c>
      <c r="G130" s="662">
        <v>0</v>
      </c>
      <c r="H130" s="662">
        <v>0</v>
      </c>
      <c r="I130" s="662">
        <v>28304.297431150848</v>
      </c>
      <c r="J130" s="662">
        <v>28962.495463990988</v>
      </c>
      <c r="K130" s="566" t="s">
        <v>3883</v>
      </c>
      <c r="L130" s="549"/>
      <c r="M130" s="715"/>
      <c r="O130" s="716"/>
      <c r="S130" s="654"/>
      <c r="T130" s="547"/>
      <c r="U130" s="547"/>
      <c r="V130" s="547"/>
      <c r="W130" s="549"/>
    </row>
    <row r="131" spans="1:23">
      <c r="A131" s="565">
        <v>825</v>
      </c>
      <c r="B131" s="696" t="s">
        <v>5538</v>
      </c>
      <c r="C131" s="566">
        <f t="shared" si="1"/>
        <v>825</v>
      </c>
      <c r="D131" s="700" t="s">
        <v>2218</v>
      </c>
      <c r="E131" s="701" t="s">
        <v>8012</v>
      </c>
      <c r="F131" s="566">
        <v>1</v>
      </c>
      <c r="G131" s="662">
        <v>0</v>
      </c>
      <c r="H131" s="662">
        <v>0</v>
      </c>
      <c r="I131" s="662">
        <v>36951.833636975745</v>
      </c>
      <c r="J131" s="662">
        <v>37828.799114247951</v>
      </c>
      <c r="K131" s="566" t="s">
        <v>3884</v>
      </c>
      <c r="L131" s="549"/>
      <c r="M131" s="715"/>
      <c r="O131" s="716"/>
      <c r="S131" s="654"/>
      <c r="T131" s="547"/>
      <c r="U131" s="547"/>
      <c r="V131" s="547"/>
      <c r="W131" s="549"/>
    </row>
    <row r="132" spans="1:23">
      <c r="A132" s="565">
        <v>826</v>
      </c>
      <c r="B132" s="696" t="s">
        <v>5539</v>
      </c>
      <c r="C132" s="566">
        <f t="shared" si="1"/>
        <v>826</v>
      </c>
      <c r="D132" s="700" t="s">
        <v>2218</v>
      </c>
      <c r="E132" s="701" t="s">
        <v>8013</v>
      </c>
      <c r="F132" s="566">
        <v>1</v>
      </c>
      <c r="G132" s="662">
        <v>34293.194739088329</v>
      </c>
      <c r="H132" s="662">
        <v>0</v>
      </c>
      <c r="I132" s="662">
        <v>0</v>
      </c>
      <c r="J132" s="662">
        <v>0</v>
      </c>
      <c r="K132" s="566" t="s">
        <v>5187</v>
      </c>
      <c r="L132" s="549"/>
      <c r="M132" s="715"/>
      <c r="O132" s="716"/>
      <c r="S132" s="654"/>
      <c r="T132" s="547"/>
      <c r="U132" s="547"/>
      <c r="V132" s="547"/>
      <c r="W132" s="549"/>
    </row>
    <row r="133" spans="1:23">
      <c r="A133" s="565">
        <v>827</v>
      </c>
      <c r="B133" s="696" t="s">
        <v>5540</v>
      </c>
      <c r="C133" s="566">
        <f t="shared" si="1"/>
        <v>827</v>
      </c>
      <c r="D133" s="700" t="s">
        <v>2218</v>
      </c>
      <c r="E133" s="701" t="s">
        <v>8014</v>
      </c>
      <c r="F133" s="566">
        <v>1</v>
      </c>
      <c r="G133" s="662">
        <v>31769.291803358614</v>
      </c>
      <c r="H133" s="662">
        <v>32573.979089194556</v>
      </c>
      <c r="I133" s="662">
        <v>33421.003664845812</v>
      </c>
      <c r="J133" s="662">
        <v>34312.614350359654</v>
      </c>
      <c r="K133" s="566" t="s">
        <v>1820</v>
      </c>
      <c r="L133" s="549"/>
      <c r="M133" s="715"/>
      <c r="O133" s="716"/>
      <c r="S133" s="654"/>
      <c r="T133" s="547"/>
      <c r="U133" s="547"/>
      <c r="V133" s="547"/>
      <c r="W133" s="549"/>
    </row>
    <row r="134" spans="1:23">
      <c r="A134" s="565">
        <v>828</v>
      </c>
      <c r="B134" s="696" t="s">
        <v>5541</v>
      </c>
      <c r="C134" s="566">
        <f t="shared" si="1"/>
        <v>828</v>
      </c>
      <c r="D134" s="700" t="s">
        <v>2218</v>
      </c>
      <c r="E134" s="701" t="s">
        <v>8015</v>
      </c>
      <c r="F134" s="566">
        <v>1</v>
      </c>
      <c r="G134" s="662">
        <v>27178.574484657045</v>
      </c>
      <c r="H134" s="662">
        <v>0</v>
      </c>
      <c r="I134" s="662">
        <v>0</v>
      </c>
      <c r="J134" s="662">
        <v>0</v>
      </c>
      <c r="K134" s="566" t="s">
        <v>5188</v>
      </c>
      <c r="L134" s="549"/>
      <c r="M134" s="715"/>
      <c r="O134" s="716"/>
      <c r="S134" s="654"/>
      <c r="T134" s="547"/>
      <c r="U134" s="547"/>
      <c r="V134" s="547"/>
      <c r="W134" s="549"/>
    </row>
    <row r="135" spans="1:23">
      <c r="A135" s="565">
        <v>829</v>
      </c>
      <c r="B135" s="696" t="s">
        <v>5542</v>
      </c>
      <c r="C135" s="566">
        <f t="shared" si="1"/>
        <v>829</v>
      </c>
      <c r="D135" s="700" t="s">
        <v>2218</v>
      </c>
      <c r="E135" s="701" t="s">
        <v>8016</v>
      </c>
      <c r="F135" s="566">
        <v>1</v>
      </c>
      <c r="G135" s="662">
        <v>28933.836698522158</v>
      </c>
      <c r="H135" s="662">
        <v>0</v>
      </c>
      <c r="I135" s="662">
        <v>0</v>
      </c>
      <c r="J135" s="662">
        <v>0</v>
      </c>
      <c r="K135" s="566" t="s">
        <v>5189</v>
      </c>
      <c r="L135" s="549"/>
      <c r="M135" s="715"/>
      <c r="O135" s="716"/>
      <c r="S135" s="654"/>
      <c r="T135" s="547"/>
      <c r="U135" s="547"/>
      <c r="V135" s="547"/>
      <c r="W135" s="549"/>
    </row>
    <row r="136" spans="1:23">
      <c r="A136" s="565">
        <v>830</v>
      </c>
      <c r="B136" s="696" t="s">
        <v>5543</v>
      </c>
      <c r="C136" s="566">
        <f t="shared" si="1"/>
        <v>830</v>
      </c>
      <c r="D136" s="700" t="s">
        <v>2218</v>
      </c>
      <c r="E136" s="701" t="s">
        <v>8017</v>
      </c>
      <c r="F136" s="566">
        <v>1</v>
      </c>
      <c r="G136" s="662">
        <v>0</v>
      </c>
      <c r="H136" s="662">
        <v>53637.352906828091</v>
      </c>
      <c r="I136" s="662">
        <v>54892.263853992263</v>
      </c>
      <c r="J136" s="662">
        <v>55327.361739057662</v>
      </c>
      <c r="K136" s="566" t="s">
        <v>2995</v>
      </c>
      <c r="L136" s="549"/>
      <c r="M136" s="715"/>
      <c r="O136" s="716"/>
      <c r="S136" s="654"/>
      <c r="T136" s="547"/>
      <c r="U136" s="547"/>
      <c r="V136" s="547"/>
      <c r="W136" s="549"/>
    </row>
    <row r="137" spans="1:23">
      <c r="A137" s="565">
        <v>831</v>
      </c>
      <c r="B137" s="696" t="s">
        <v>5544</v>
      </c>
      <c r="C137" s="566">
        <f t="shared" ref="C137:C200" si="2">A137</f>
        <v>831</v>
      </c>
      <c r="D137" s="700" t="s">
        <v>2218</v>
      </c>
      <c r="E137" s="701" t="s">
        <v>8018</v>
      </c>
      <c r="F137" s="566">
        <v>1</v>
      </c>
      <c r="G137" s="662">
        <v>0</v>
      </c>
      <c r="H137" s="662">
        <v>49983.443146464197</v>
      </c>
      <c r="I137" s="662">
        <v>51149.062245261943</v>
      </c>
      <c r="J137" s="662">
        <v>55328.975531562202</v>
      </c>
      <c r="K137" s="566" t="s">
        <v>2996</v>
      </c>
      <c r="L137" s="549"/>
      <c r="M137" s="715"/>
      <c r="O137" s="716"/>
      <c r="S137" s="654"/>
      <c r="T137" s="547"/>
      <c r="U137" s="547"/>
      <c r="V137" s="547"/>
      <c r="W137" s="549"/>
    </row>
    <row r="138" spans="1:23">
      <c r="A138" s="565">
        <v>832</v>
      </c>
      <c r="B138" s="696" t="s">
        <v>5545</v>
      </c>
      <c r="C138" s="566">
        <f t="shared" si="2"/>
        <v>832</v>
      </c>
      <c r="D138" s="700" t="s">
        <v>2218</v>
      </c>
      <c r="E138" s="701" t="s">
        <v>8019</v>
      </c>
      <c r="F138" s="566">
        <v>1</v>
      </c>
      <c r="G138" s="662">
        <v>0</v>
      </c>
      <c r="H138" s="662">
        <v>51810.398026646129</v>
      </c>
      <c r="I138" s="662">
        <v>53020.677075993473</v>
      </c>
      <c r="J138" s="662">
        <v>54294.6638814326</v>
      </c>
      <c r="K138" s="566" t="s">
        <v>2997</v>
      </c>
      <c r="L138" s="549"/>
      <c r="M138" s="715"/>
      <c r="O138" s="716"/>
      <c r="S138" s="654"/>
      <c r="T138" s="547"/>
      <c r="U138" s="547"/>
      <c r="V138" s="547"/>
      <c r="W138" s="549"/>
    </row>
    <row r="139" spans="1:23">
      <c r="A139" s="565">
        <v>833</v>
      </c>
      <c r="B139" s="696" t="s">
        <v>5546</v>
      </c>
      <c r="C139" s="566">
        <f t="shared" si="2"/>
        <v>833</v>
      </c>
      <c r="D139" s="700" t="s">
        <v>2218</v>
      </c>
      <c r="E139" s="701" t="s">
        <v>8020</v>
      </c>
      <c r="F139" s="566">
        <v>1</v>
      </c>
      <c r="G139" s="662">
        <v>77094.148600592627</v>
      </c>
      <c r="H139" s="662">
        <v>78922.317141651816</v>
      </c>
      <c r="I139" s="662">
        <v>80846.734608801227</v>
      </c>
      <c r="J139" s="662">
        <v>82872.422441204399</v>
      </c>
      <c r="K139" s="566" t="s">
        <v>2998</v>
      </c>
      <c r="L139" s="549"/>
      <c r="M139" s="715"/>
      <c r="O139" s="716"/>
      <c r="S139" s="654"/>
      <c r="T139" s="547"/>
      <c r="U139" s="547"/>
      <c r="V139" s="547"/>
      <c r="W139" s="549"/>
    </row>
    <row r="140" spans="1:23">
      <c r="A140" s="565">
        <v>834</v>
      </c>
      <c r="B140" s="696" t="s">
        <v>5547</v>
      </c>
      <c r="C140" s="566">
        <f t="shared" si="2"/>
        <v>834</v>
      </c>
      <c r="D140" s="700" t="s">
        <v>2218</v>
      </c>
      <c r="E140" s="701" t="s">
        <v>8021</v>
      </c>
      <c r="F140" s="566">
        <v>1</v>
      </c>
      <c r="G140" s="662">
        <v>0</v>
      </c>
      <c r="H140" s="662">
        <v>0</v>
      </c>
      <c r="I140" s="662">
        <v>69710.205959857296</v>
      </c>
      <c r="J140" s="662">
        <v>71357.939323821658</v>
      </c>
      <c r="K140" s="566" t="s">
        <v>3885</v>
      </c>
      <c r="L140" s="549"/>
      <c r="M140" s="715"/>
      <c r="O140" s="716"/>
      <c r="S140" s="654"/>
      <c r="T140" s="547"/>
      <c r="U140" s="547"/>
      <c r="V140" s="547"/>
      <c r="W140" s="549"/>
    </row>
    <row r="141" spans="1:23">
      <c r="A141" s="565">
        <v>835</v>
      </c>
      <c r="B141" s="696" t="s">
        <v>5548</v>
      </c>
      <c r="C141" s="566">
        <f t="shared" si="2"/>
        <v>835</v>
      </c>
      <c r="D141" s="700" t="s">
        <v>2218</v>
      </c>
      <c r="E141" s="701" t="s">
        <v>8022</v>
      </c>
      <c r="F141" s="566">
        <v>1</v>
      </c>
      <c r="G141" s="662">
        <v>86914.031081570574</v>
      </c>
      <c r="H141" s="662">
        <v>89097.094744742091</v>
      </c>
      <c r="I141" s="662">
        <v>91280.158407913608</v>
      </c>
      <c r="J141" s="662">
        <v>93578.126064458964</v>
      </c>
      <c r="K141" s="566" t="s">
        <v>2999</v>
      </c>
      <c r="L141" s="549"/>
      <c r="M141" s="715"/>
      <c r="O141" s="716"/>
      <c r="S141" s="654"/>
      <c r="T141" s="547"/>
      <c r="U141" s="547"/>
      <c r="V141" s="547"/>
      <c r="W141" s="549"/>
    </row>
    <row r="142" spans="1:23">
      <c r="A142" s="565">
        <v>836</v>
      </c>
      <c r="B142" s="696" t="s">
        <v>5549</v>
      </c>
      <c r="C142" s="566">
        <f t="shared" si="2"/>
        <v>836</v>
      </c>
      <c r="D142" s="700" t="s">
        <v>2218</v>
      </c>
      <c r="E142" s="701" t="s">
        <v>8023</v>
      </c>
      <c r="F142" s="566">
        <v>1</v>
      </c>
      <c r="G142" s="662">
        <v>0</v>
      </c>
      <c r="H142" s="662">
        <v>0</v>
      </c>
      <c r="I142" s="662">
        <v>78409.991103580804</v>
      </c>
      <c r="J142" s="662">
        <v>80270.336129112591</v>
      </c>
      <c r="K142" s="566" t="s">
        <v>3886</v>
      </c>
      <c r="L142" s="549"/>
      <c r="M142" s="715"/>
      <c r="O142" s="716"/>
      <c r="S142" s="654"/>
      <c r="T142" s="547"/>
      <c r="U142" s="547"/>
      <c r="V142" s="547"/>
      <c r="W142" s="549"/>
    </row>
    <row r="143" spans="1:23">
      <c r="A143" s="565">
        <v>837</v>
      </c>
      <c r="B143" s="696" t="s">
        <v>5550</v>
      </c>
      <c r="C143" s="566">
        <f t="shared" si="2"/>
        <v>837</v>
      </c>
      <c r="D143" s="700" t="s">
        <v>2218</v>
      </c>
      <c r="E143" s="701" t="s">
        <v>8024</v>
      </c>
      <c r="F143" s="566">
        <v>1</v>
      </c>
      <c r="G143" s="662">
        <v>0</v>
      </c>
      <c r="H143" s="662">
        <v>0</v>
      </c>
      <c r="I143" s="662">
        <v>0</v>
      </c>
      <c r="J143" s="662">
        <v>44569.833088230123</v>
      </c>
      <c r="K143" s="566" t="s">
        <v>4610</v>
      </c>
      <c r="L143" s="549"/>
      <c r="M143" s="715"/>
      <c r="O143" s="716"/>
      <c r="S143" s="654"/>
      <c r="T143" s="547"/>
      <c r="U143" s="547"/>
      <c r="V143" s="547"/>
      <c r="W143" s="549"/>
    </row>
    <row r="144" spans="1:23">
      <c r="A144" s="565">
        <v>838</v>
      </c>
      <c r="B144" s="696" t="s">
        <v>5551</v>
      </c>
      <c r="C144" s="566">
        <f t="shared" si="2"/>
        <v>838</v>
      </c>
      <c r="D144" s="700" t="s">
        <v>2218</v>
      </c>
      <c r="E144" s="701" t="s">
        <v>8025</v>
      </c>
      <c r="F144" s="566">
        <v>1</v>
      </c>
      <c r="G144" s="662">
        <v>0</v>
      </c>
      <c r="H144" s="662">
        <v>0</v>
      </c>
      <c r="I144" s="662">
        <v>32773.002024545196</v>
      </c>
      <c r="J144" s="662">
        <v>33581.767109196087</v>
      </c>
      <c r="K144" s="566" t="s">
        <v>3887</v>
      </c>
      <c r="L144" s="549"/>
      <c r="M144" s="715"/>
      <c r="O144" s="716"/>
      <c r="S144" s="654"/>
      <c r="T144" s="547"/>
      <c r="U144" s="547"/>
      <c r="V144" s="547"/>
      <c r="W144" s="549"/>
    </row>
    <row r="145" spans="1:23">
      <c r="A145" s="565">
        <v>839</v>
      </c>
      <c r="B145" s="696" t="s">
        <v>5552</v>
      </c>
      <c r="C145" s="566">
        <f t="shared" si="2"/>
        <v>839</v>
      </c>
      <c r="D145" s="700" t="s">
        <v>2218</v>
      </c>
      <c r="E145" s="701" t="s">
        <v>8026</v>
      </c>
      <c r="F145" s="566">
        <v>1</v>
      </c>
      <c r="G145" s="662">
        <v>0</v>
      </c>
      <c r="H145" s="662">
        <v>0</v>
      </c>
      <c r="I145" s="662">
        <v>31630.664565864336</v>
      </c>
      <c r="J145" s="662">
        <v>32409.132487345658</v>
      </c>
      <c r="K145" s="566" t="s">
        <v>3888</v>
      </c>
      <c r="L145" s="549"/>
      <c r="M145" s="715"/>
      <c r="O145" s="716"/>
      <c r="S145" s="654"/>
      <c r="T145" s="547"/>
      <c r="U145" s="547"/>
      <c r="V145" s="547"/>
      <c r="W145" s="549"/>
    </row>
    <row r="146" spans="1:23">
      <c r="A146" s="565">
        <v>840</v>
      </c>
      <c r="B146" s="696" t="s">
        <v>5553</v>
      </c>
      <c r="C146" s="566">
        <f t="shared" si="2"/>
        <v>840</v>
      </c>
      <c r="D146" s="700" t="s">
        <v>2218</v>
      </c>
      <c r="E146" s="701" t="s">
        <v>8027</v>
      </c>
      <c r="F146" s="566">
        <v>1</v>
      </c>
      <c r="G146" s="662">
        <v>0</v>
      </c>
      <c r="H146" s="662">
        <v>0</v>
      </c>
      <c r="I146" s="662">
        <v>29872.248524662555</v>
      </c>
      <c r="J146" s="662">
        <v>30623.679688350909</v>
      </c>
      <c r="K146" s="566" t="s">
        <v>3889</v>
      </c>
      <c r="L146" s="549"/>
      <c r="M146" s="715"/>
      <c r="O146" s="716"/>
      <c r="S146" s="654"/>
      <c r="T146" s="547"/>
      <c r="U146" s="547"/>
      <c r="V146" s="547"/>
      <c r="W146" s="549"/>
    </row>
    <row r="147" spans="1:23">
      <c r="A147" s="565">
        <v>841</v>
      </c>
      <c r="B147" s="696" t="s">
        <v>5554</v>
      </c>
      <c r="C147" s="566">
        <f t="shared" si="2"/>
        <v>841</v>
      </c>
      <c r="D147" s="700" t="s">
        <v>2218</v>
      </c>
      <c r="E147" s="701" t="s">
        <v>8028</v>
      </c>
      <c r="F147" s="566">
        <v>1</v>
      </c>
      <c r="G147" s="662">
        <v>0</v>
      </c>
      <c r="H147" s="662">
        <v>0</v>
      </c>
      <c r="I147" s="662">
        <v>27780.767649829366</v>
      </c>
      <c r="J147" s="662">
        <v>28457.086455690165</v>
      </c>
      <c r="K147" s="566" t="s">
        <v>3890</v>
      </c>
      <c r="L147" s="549"/>
      <c r="M147" s="715"/>
      <c r="O147" s="716"/>
      <c r="S147" s="654"/>
      <c r="T147" s="547"/>
      <c r="U147" s="547"/>
      <c r="V147" s="547"/>
      <c r="W147" s="549"/>
    </row>
    <row r="148" spans="1:23">
      <c r="A148" s="565">
        <v>842</v>
      </c>
      <c r="B148" s="696" t="s">
        <v>5555</v>
      </c>
      <c r="C148" s="566">
        <f t="shared" si="2"/>
        <v>842</v>
      </c>
      <c r="D148" s="700" t="s">
        <v>2218</v>
      </c>
      <c r="E148" s="701" t="s">
        <v>8029</v>
      </c>
      <c r="F148" s="566">
        <v>1</v>
      </c>
      <c r="G148" s="662">
        <v>0</v>
      </c>
      <c r="H148" s="662">
        <v>0</v>
      </c>
      <c r="I148" s="662">
        <v>30746.451436789255</v>
      </c>
      <c r="J148" s="662">
        <v>31501.450591267123</v>
      </c>
      <c r="K148" s="566" t="s">
        <v>3891</v>
      </c>
      <c r="L148" s="549"/>
      <c r="M148" s="715"/>
      <c r="O148" s="716"/>
      <c r="S148" s="654"/>
      <c r="T148" s="547"/>
      <c r="U148" s="547"/>
      <c r="V148" s="547"/>
      <c r="W148" s="549"/>
    </row>
    <row r="149" spans="1:23">
      <c r="A149" s="565">
        <v>843</v>
      </c>
      <c r="B149" s="696" t="s">
        <v>5556</v>
      </c>
      <c r="C149" s="566">
        <f t="shared" si="2"/>
        <v>843</v>
      </c>
      <c r="D149" s="700" t="s">
        <v>2218</v>
      </c>
      <c r="E149" s="701" t="s">
        <v>8030</v>
      </c>
      <c r="F149" s="566">
        <v>1</v>
      </c>
      <c r="G149" s="662">
        <v>0</v>
      </c>
      <c r="H149" s="662">
        <v>0</v>
      </c>
      <c r="I149" s="662">
        <v>35258.769631885843</v>
      </c>
      <c r="J149" s="662">
        <v>36133.481029060204</v>
      </c>
      <c r="K149" s="566" t="s">
        <v>3892</v>
      </c>
      <c r="L149" s="549"/>
      <c r="M149" s="715"/>
      <c r="O149" s="716"/>
      <c r="S149" s="654"/>
      <c r="T149" s="547"/>
      <c r="U149" s="547"/>
      <c r="V149" s="547"/>
      <c r="W149" s="549"/>
    </row>
    <row r="150" spans="1:23">
      <c r="A150" s="565">
        <v>844</v>
      </c>
      <c r="B150" s="696" t="s">
        <v>5557</v>
      </c>
      <c r="C150" s="566">
        <f t="shared" si="2"/>
        <v>844</v>
      </c>
      <c r="D150" s="700" t="s">
        <v>2218</v>
      </c>
      <c r="E150" s="701" t="s">
        <v>8031</v>
      </c>
      <c r="F150" s="566">
        <v>1</v>
      </c>
      <c r="G150" s="662">
        <v>0</v>
      </c>
      <c r="H150" s="662">
        <v>0</v>
      </c>
      <c r="I150" s="662">
        <v>36573.470877464169</v>
      </c>
      <c r="J150" s="662">
        <v>37483.062460460162</v>
      </c>
      <c r="K150" s="566" t="s">
        <v>3893</v>
      </c>
      <c r="L150" s="549"/>
      <c r="M150" s="715"/>
      <c r="O150" s="716"/>
      <c r="S150" s="654"/>
      <c r="T150" s="547"/>
      <c r="U150" s="547"/>
      <c r="V150" s="547"/>
      <c r="W150" s="549"/>
    </row>
    <row r="151" spans="1:23">
      <c r="A151" s="565">
        <v>845</v>
      </c>
      <c r="B151" s="696" t="s">
        <v>5558</v>
      </c>
      <c r="C151" s="566">
        <f t="shared" si="2"/>
        <v>845</v>
      </c>
      <c r="D151" s="700" t="s">
        <v>2218</v>
      </c>
      <c r="E151" s="701" t="s">
        <v>8032</v>
      </c>
      <c r="F151" s="566">
        <v>1</v>
      </c>
      <c r="G151" s="662">
        <v>0</v>
      </c>
      <c r="H151" s="662">
        <v>0</v>
      </c>
      <c r="I151" s="662">
        <v>29428.36975369597</v>
      </c>
      <c r="J151" s="662">
        <v>30148.396446728337</v>
      </c>
      <c r="K151" s="566" t="s">
        <v>3894</v>
      </c>
      <c r="L151" s="549"/>
      <c r="M151" s="715"/>
      <c r="O151" s="716"/>
      <c r="S151" s="654"/>
      <c r="T151" s="547"/>
      <c r="U151" s="547"/>
      <c r="V151" s="547"/>
      <c r="W151" s="549"/>
    </row>
    <row r="152" spans="1:23">
      <c r="A152" s="565">
        <v>846</v>
      </c>
      <c r="B152" s="696" t="s">
        <v>5559</v>
      </c>
      <c r="C152" s="566">
        <f t="shared" si="2"/>
        <v>846</v>
      </c>
      <c r="D152" s="700" t="s">
        <v>2218</v>
      </c>
      <c r="E152" s="701" t="s">
        <v>8033</v>
      </c>
      <c r="F152" s="566">
        <v>1</v>
      </c>
      <c r="G152" s="662">
        <v>0</v>
      </c>
      <c r="H152" s="662">
        <v>0</v>
      </c>
      <c r="I152" s="662">
        <v>31045.765818991687</v>
      </c>
      <c r="J152" s="662">
        <v>31808.700677122102</v>
      </c>
      <c r="K152" s="566" t="s">
        <v>3895</v>
      </c>
      <c r="L152" s="549"/>
      <c r="M152" s="715"/>
      <c r="O152" s="716"/>
      <c r="S152" s="654"/>
      <c r="T152" s="547"/>
      <c r="U152" s="547"/>
      <c r="V152" s="547"/>
      <c r="W152" s="549"/>
    </row>
    <row r="153" spans="1:23">
      <c r="A153" s="565">
        <v>847</v>
      </c>
      <c r="B153" s="696" t="s">
        <v>5560</v>
      </c>
      <c r="C153" s="566">
        <f t="shared" si="2"/>
        <v>847</v>
      </c>
      <c r="D153" s="700" t="s">
        <v>2218</v>
      </c>
      <c r="E153" s="701" t="s">
        <v>8034</v>
      </c>
      <c r="F153" s="566">
        <v>1</v>
      </c>
      <c r="G153" s="662">
        <v>0</v>
      </c>
      <c r="H153" s="662">
        <v>0</v>
      </c>
      <c r="I153" s="662">
        <v>29098.849332922644</v>
      </c>
      <c r="J153" s="662">
        <v>29810.140600228948</v>
      </c>
      <c r="K153" s="566" t="s">
        <v>3896</v>
      </c>
      <c r="L153" s="549"/>
      <c r="M153" s="715"/>
      <c r="O153" s="716"/>
      <c r="S153" s="654"/>
      <c r="T153" s="547"/>
      <c r="U153" s="547"/>
      <c r="V153" s="547"/>
      <c r="W153" s="549"/>
    </row>
    <row r="154" spans="1:23">
      <c r="A154" s="565">
        <v>848</v>
      </c>
      <c r="B154" s="696" t="s">
        <v>5561</v>
      </c>
      <c r="C154" s="566">
        <f t="shared" si="2"/>
        <v>848</v>
      </c>
      <c r="D154" s="700" t="s">
        <v>2218</v>
      </c>
      <c r="E154" s="701" t="s">
        <v>8035</v>
      </c>
      <c r="F154" s="566">
        <v>1</v>
      </c>
      <c r="G154" s="662">
        <v>0</v>
      </c>
      <c r="H154" s="662">
        <v>0</v>
      </c>
      <c r="I154" s="662">
        <v>0</v>
      </c>
      <c r="J154" s="662">
        <v>47917.273632936296</v>
      </c>
      <c r="K154" s="566" t="s">
        <v>4611</v>
      </c>
      <c r="L154" s="549"/>
      <c r="M154" s="715"/>
      <c r="O154" s="716"/>
      <c r="S154" s="654"/>
      <c r="T154" s="547"/>
      <c r="U154" s="547"/>
      <c r="V154" s="547"/>
      <c r="W154" s="549"/>
    </row>
    <row r="155" spans="1:23">
      <c r="A155" s="565">
        <v>849</v>
      </c>
      <c r="B155" s="696" t="s">
        <v>5562</v>
      </c>
      <c r="C155" s="566">
        <f t="shared" si="2"/>
        <v>849</v>
      </c>
      <c r="D155" s="700" t="s">
        <v>2218</v>
      </c>
      <c r="E155" s="701" t="s">
        <v>8036</v>
      </c>
      <c r="F155" s="566">
        <v>1</v>
      </c>
      <c r="G155" s="662">
        <v>43353.640699640964</v>
      </c>
      <c r="H155" s="662">
        <v>0</v>
      </c>
      <c r="I155" s="662">
        <v>0</v>
      </c>
      <c r="J155" s="662">
        <v>0</v>
      </c>
      <c r="K155" s="566" t="s">
        <v>5190</v>
      </c>
      <c r="L155" s="549"/>
      <c r="M155" s="715"/>
      <c r="O155" s="716"/>
      <c r="S155" s="654"/>
      <c r="T155" s="547"/>
      <c r="U155" s="547"/>
      <c r="V155" s="547"/>
      <c r="W155" s="549"/>
    </row>
    <row r="156" spans="1:23">
      <c r="A156" s="565">
        <v>850</v>
      </c>
      <c r="B156" s="696" t="s">
        <v>5563</v>
      </c>
      <c r="C156" s="566">
        <f t="shared" si="2"/>
        <v>850</v>
      </c>
      <c r="D156" s="700" t="s">
        <v>2218</v>
      </c>
      <c r="E156" s="701" t="s">
        <v>8037</v>
      </c>
      <c r="F156" s="566">
        <v>1</v>
      </c>
      <c r="G156" s="662">
        <v>43820.090761918029</v>
      </c>
      <c r="H156" s="662">
        <v>45427.401337354589</v>
      </c>
      <c r="I156" s="662">
        <v>47119.319764173182</v>
      </c>
      <c r="J156" s="662">
        <v>48900.284017657781</v>
      </c>
      <c r="K156" s="566" t="s">
        <v>1821</v>
      </c>
      <c r="L156" s="549"/>
      <c r="M156" s="715"/>
      <c r="O156" s="716"/>
      <c r="S156" s="654"/>
      <c r="T156" s="547"/>
      <c r="U156" s="547"/>
      <c r="V156" s="547"/>
      <c r="W156" s="549"/>
    </row>
    <row r="157" spans="1:23">
      <c r="A157" s="565">
        <v>851</v>
      </c>
      <c r="B157" s="696" t="s">
        <v>5564</v>
      </c>
      <c r="C157" s="566">
        <f t="shared" si="2"/>
        <v>851</v>
      </c>
      <c r="D157" s="700" t="s">
        <v>2218</v>
      </c>
      <c r="E157" s="701" t="s">
        <v>8038</v>
      </c>
      <c r="F157" s="566">
        <v>1</v>
      </c>
      <c r="G157" s="662">
        <v>41156.639327475648</v>
      </c>
      <c r="H157" s="662">
        <v>42660.874347929057</v>
      </c>
      <c r="I157" s="662">
        <v>44244.277121029241</v>
      </c>
      <c r="J157" s="662">
        <v>45911.047021238504</v>
      </c>
      <c r="K157" s="566" t="s">
        <v>1822</v>
      </c>
      <c r="L157" s="549"/>
      <c r="M157" s="715"/>
      <c r="O157" s="716"/>
      <c r="S157" s="654"/>
      <c r="T157" s="547"/>
      <c r="U157" s="547"/>
      <c r="V157" s="547"/>
      <c r="W157" s="549"/>
    </row>
    <row r="158" spans="1:23">
      <c r="A158" s="565">
        <v>852</v>
      </c>
      <c r="B158" s="696" t="s">
        <v>5565</v>
      </c>
      <c r="C158" s="566">
        <f t="shared" si="2"/>
        <v>852</v>
      </c>
      <c r="D158" s="700" t="s">
        <v>2218</v>
      </c>
      <c r="E158" s="701" t="s">
        <v>8039</v>
      </c>
      <c r="F158" s="566">
        <v>1</v>
      </c>
      <c r="G158" s="662">
        <v>37993.79074907532</v>
      </c>
      <c r="H158" s="662">
        <v>39375.623547986215</v>
      </c>
      <c r="I158" s="662">
        <v>40830.181877357441</v>
      </c>
      <c r="J158" s="662">
        <v>42361.331070500899</v>
      </c>
      <c r="K158" s="566" t="s">
        <v>1823</v>
      </c>
      <c r="L158" s="549"/>
      <c r="M158" s="715"/>
      <c r="O158" s="716"/>
      <c r="S158" s="654"/>
      <c r="T158" s="547"/>
      <c r="U158" s="547"/>
      <c r="V158" s="547"/>
      <c r="W158" s="549"/>
    </row>
    <row r="159" spans="1:23">
      <c r="A159" s="565">
        <v>853</v>
      </c>
      <c r="B159" s="696" t="s">
        <v>5566</v>
      </c>
      <c r="C159" s="566">
        <f t="shared" si="2"/>
        <v>853</v>
      </c>
      <c r="D159" s="700" t="s">
        <v>2218</v>
      </c>
      <c r="E159" s="701" t="s">
        <v>8040</v>
      </c>
      <c r="F159" s="566">
        <v>1</v>
      </c>
      <c r="G159" s="662">
        <v>48862.59759769035</v>
      </c>
      <c r="H159" s="662">
        <v>0</v>
      </c>
      <c r="I159" s="662">
        <v>0</v>
      </c>
      <c r="J159" s="662">
        <v>0</v>
      </c>
      <c r="K159" s="566" t="s">
        <v>5191</v>
      </c>
      <c r="L159" s="549"/>
      <c r="M159" s="715"/>
      <c r="O159" s="716"/>
      <c r="S159" s="654"/>
      <c r="T159" s="547"/>
      <c r="U159" s="547"/>
      <c r="V159" s="547"/>
      <c r="W159" s="549"/>
    </row>
    <row r="160" spans="1:23">
      <c r="A160" s="565">
        <v>854</v>
      </c>
      <c r="B160" s="696" t="s">
        <v>5567</v>
      </c>
      <c r="C160" s="566">
        <f t="shared" si="2"/>
        <v>854</v>
      </c>
      <c r="D160" s="700" t="s">
        <v>2218</v>
      </c>
      <c r="E160" s="701" t="s">
        <v>8041</v>
      </c>
      <c r="F160" s="566">
        <v>1</v>
      </c>
      <c r="G160" s="662">
        <v>49646.390774760737</v>
      </c>
      <c r="H160" s="662">
        <v>51479.179126722971</v>
      </c>
      <c r="I160" s="662">
        <v>53408.409930824557</v>
      </c>
      <c r="J160" s="662">
        <v>55439.236964814641</v>
      </c>
      <c r="K160" s="566" t="s">
        <v>1824</v>
      </c>
      <c r="L160" s="549"/>
      <c r="M160" s="715"/>
      <c r="O160" s="716"/>
      <c r="S160" s="654"/>
      <c r="T160" s="547"/>
      <c r="U160" s="547"/>
      <c r="V160" s="547"/>
      <c r="W160" s="549"/>
    </row>
    <row r="161" spans="1:23">
      <c r="A161" s="565">
        <v>855</v>
      </c>
      <c r="B161" s="696" t="s">
        <v>5568</v>
      </c>
      <c r="C161" s="566">
        <f t="shared" si="2"/>
        <v>855</v>
      </c>
      <c r="D161" s="700" t="s">
        <v>2218</v>
      </c>
      <c r="E161" s="701" t="s">
        <v>8042</v>
      </c>
      <c r="F161" s="566">
        <v>1</v>
      </c>
      <c r="G161" s="662">
        <v>46982.939340318349</v>
      </c>
      <c r="H161" s="662">
        <v>48712.652137297431</v>
      </c>
      <c r="I161" s="662">
        <v>50533.41500784496</v>
      </c>
      <c r="J161" s="662">
        <v>52449.999968395379</v>
      </c>
      <c r="K161" s="566" t="s">
        <v>1825</v>
      </c>
      <c r="L161" s="549"/>
      <c r="M161" s="715"/>
      <c r="O161" s="716"/>
      <c r="S161" s="654"/>
      <c r="T161" s="547"/>
      <c r="U161" s="547"/>
      <c r="V161" s="547"/>
      <c r="W161" s="549"/>
    </row>
    <row r="162" spans="1:23">
      <c r="A162" s="565">
        <v>856</v>
      </c>
      <c r="B162" s="696" t="s">
        <v>5569</v>
      </c>
      <c r="C162" s="566">
        <f t="shared" si="2"/>
        <v>856</v>
      </c>
      <c r="D162" s="700" t="s">
        <v>2218</v>
      </c>
      <c r="E162" s="701" t="s">
        <v>8043</v>
      </c>
      <c r="F162" s="566">
        <v>1</v>
      </c>
      <c r="G162" s="662">
        <v>47783.920722547809</v>
      </c>
      <c r="H162" s="662">
        <v>0</v>
      </c>
      <c r="I162" s="662">
        <v>0</v>
      </c>
      <c r="J162" s="662">
        <v>0</v>
      </c>
      <c r="K162" s="566" t="s">
        <v>5192</v>
      </c>
      <c r="L162" s="549"/>
      <c r="M162" s="715"/>
      <c r="O162" s="716"/>
      <c r="S162" s="654"/>
      <c r="T162" s="547"/>
      <c r="U162" s="547"/>
      <c r="V162" s="547"/>
      <c r="W162" s="549"/>
    </row>
    <row r="163" spans="1:23">
      <c r="A163" s="565">
        <v>857</v>
      </c>
      <c r="B163" s="696" t="s">
        <v>5570</v>
      </c>
      <c r="C163" s="566">
        <f t="shared" si="2"/>
        <v>857</v>
      </c>
      <c r="D163" s="700" t="s">
        <v>2218</v>
      </c>
      <c r="E163" s="701" t="s">
        <v>8044</v>
      </c>
      <c r="F163" s="566">
        <v>1</v>
      </c>
      <c r="G163" s="662">
        <v>48564.339769436345</v>
      </c>
      <c r="H163" s="662">
        <v>50355.277537268848</v>
      </c>
      <c r="I163" s="662">
        <v>0</v>
      </c>
      <c r="J163" s="662">
        <v>0</v>
      </c>
      <c r="K163" s="566" t="s">
        <v>1826</v>
      </c>
      <c r="L163" s="549"/>
      <c r="M163" s="715"/>
      <c r="O163" s="716"/>
      <c r="S163" s="654"/>
      <c r="T163" s="547"/>
      <c r="U163" s="547"/>
      <c r="V163" s="547"/>
      <c r="W163" s="549"/>
    </row>
    <row r="164" spans="1:23">
      <c r="A164" s="565">
        <v>858</v>
      </c>
      <c r="B164" s="696" t="s">
        <v>5571</v>
      </c>
      <c r="C164" s="566">
        <f t="shared" si="2"/>
        <v>858</v>
      </c>
      <c r="D164" s="700" t="s">
        <v>2218</v>
      </c>
      <c r="E164" s="701" t="s">
        <v>8045</v>
      </c>
      <c r="F164" s="566">
        <v>1</v>
      </c>
      <c r="G164" s="662">
        <v>45900.888334993957</v>
      </c>
      <c r="H164" s="662">
        <v>0</v>
      </c>
      <c r="I164" s="662">
        <v>0</v>
      </c>
      <c r="J164" s="662">
        <v>0</v>
      </c>
      <c r="K164" s="566" t="s">
        <v>5193</v>
      </c>
      <c r="L164" s="549"/>
      <c r="M164" s="715"/>
      <c r="O164" s="716"/>
      <c r="S164" s="654"/>
      <c r="T164" s="547"/>
      <c r="U164" s="547"/>
      <c r="V164" s="547"/>
      <c r="W164" s="549"/>
    </row>
    <row r="165" spans="1:23">
      <c r="A165" s="565">
        <v>859</v>
      </c>
      <c r="B165" s="696" t="s">
        <v>5572</v>
      </c>
      <c r="C165" s="566">
        <f t="shared" si="2"/>
        <v>859</v>
      </c>
      <c r="D165" s="700" t="s">
        <v>2218</v>
      </c>
      <c r="E165" s="701" t="s">
        <v>8046</v>
      </c>
      <c r="F165" s="566">
        <v>1</v>
      </c>
      <c r="G165" s="662">
        <v>0</v>
      </c>
      <c r="H165" s="662">
        <v>0</v>
      </c>
      <c r="I165" s="662">
        <v>43762.589624832348</v>
      </c>
      <c r="J165" s="662">
        <v>45344.41763250919</v>
      </c>
      <c r="K165" s="566" t="s">
        <v>3897</v>
      </c>
      <c r="L165" s="549"/>
      <c r="M165" s="715"/>
      <c r="O165" s="716"/>
      <c r="S165" s="654"/>
      <c r="T165" s="547"/>
      <c r="U165" s="547"/>
      <c r="V165" s="547"/>
      <c r="W165" s="549"/>
    </row>
    <row r="166" spans="1:23">
      <c r="A166" s="565">
        <v>860</v>
      </c>
      <c r="B166" s="696" t="s">
        <v>5573</v>
      </c>
      <c r="C166" s="566">
        <f t="shared" si="2"/>
        <v>860</v>
      </c>
      <c r="D166" s="700" t="s">
        <v>2218</v>
      </c>
      <c r="E166" s="701" t="s">
        <v>8047</v>
      </c>
      <c r="F166" s="566">
        <v>1</v>
      </c>
      <c r="G166" s="662">
        <v>0</v>
      </c>
      <c r="H166" s="662">
        <v>38813.714950414658</v>
      </c>
      <c r="I166" s="662">
        <v>0</v>
      </c>
      <c r="J166" s="662">
        <v>0</v>
      </c>
      <c r="K166" s="566" t="s">
        <v>3898</v>
      </c>
      <c r="L166" s="549"/>
      <c r="M166" s="715"/>
      <c r="O166" s="716"/>
      <c r="S166" s="654"/>
      <c r="T166" s="547"/>
      <c r="U166" s="547"/>
      <c r="V166" s="547"/>
      <c r="W166" s="549"/>
    </row>
    <row r="167" spans="1:23">
      <c r="A167" s="565">
        <v>861</v>
      </c>
      <c r="B167" s="696" t="s">
        <v>5574</v>
      </c>
      <c r="C167" s="566">
        <f t="shared" si="2"/>
        <v>861</v>
      </c>
      <c r="D167" s="700" t="s">
        <v>2218</v>
      </c>
      <c r="E167" s="701" t="s">
        <v>8048</v>
      </c>
      <c r="F167" s="566">
        <v>1</v>
      </c>
      <c r="G167" s="662">
        <v>0</v>
      </c>
      <c r="H167" s="662">
        <v>0</v>
      </c>
      <c r="I167" s="662">
        <v>0</v>
      </c>
      <c r="J167" s="662">
        <v>51388.29709490676</v>
      </c>
      <c r="K167" s="566" t="s">
        <v>4612</v>
      </c>
      <c r="L167" s="549"/>
      <c r="M167" s="715"/>
      <c r="O167" s="716"/>
      <c r="S167" s="654"/>
      <c r="T167" s="547"/>
      <c r="U167" s="547"/>
      <c r="V167" s="547"/>
      <c r="W167" s="549"/>
    </row>
    <row r="168" spans="1:23">
      <c r="A168" s="565">
        <v>862</v>
      </c>
      <c r="B168" s="696" t="s">
        <v>5575</v>
      </c>
      <c r="C168" s="566">
        <f t="shared" si="2"/>
        <v>862</v>
      </c>
      <c r="D168" s="700" t="s">
        <v>2218</v>
      </c>
      <c r="E168" s="701" t="s">
        <v>8049</v>
      </c>
      <c r="F168" s="566">
        <v>1</v>
      </c>
      <c r="G168" s="662">
        <v>45997.401267647518</v>
      </c>
      <c r="H168" s="662">
        <v>0</v>
      </c>
      <c r="I168" s="662">
        <v>0</v>
      </c>
      <c r="J168" s="662">
        <v>0</v>
      </c>
      <c r="K168" s="566" t="s">
        <v>5194</v>
      </c>
      <c r="L168" s="549"/>
      <c r="M168" s="715"/>
      <c r="O168" s="716"/>
      <c r="S168" s="654"/>
      <c r="T168" s="547"/>
      <c r="U168" s="547"/>
      <c r="V168" s="547"/>
      <c r="W168" s="549"/>
    </row>
    <row r="169" spans="1:23">
      <c r="A169" s="565">
        <v>863</v>
      </c>
      <c r="B169" s="696" t="s">
        <v>5576</v>
      </c>
      <c r="C169" s="566">
        <f t="shared" si="2"/>
        <v>863</v>
      </c>
      <c r="D169" s="700" t="s">
        <v>2218</v>
      </c>
      <c r="E169" s="701" t="s">
        <v>8050</v>
      </c>
      <c r="F169" s="566">
        <v>1</v>
      </c>
      <c r="G169" s="662">
        <v>40505.559079807441</v>
      </c>
      <c r="H169" s="662">
        <v>41595.804803355662</v>
      </c>
      <c r="I169" s="662">
        <v>42743.450578730197</v>
      </c>
      <c r="J169" s="662">
        <v>43951.490749925513</v>
      </c>
      <c r="K169" s="566" t="s">
        <v>1827</v>
      </c>
      <c r="L169" s="549"/>
      <c r="M169" s="715"/>
      <c r="O169" s="716"/>
      <c r="S169" s="654"/>
      <c r="T169" s="547"/>
      <c r="U169" s="547"/>
      <c r="V169" s="547"/>
      <c r="W169" s="549"/>
    </row>
    <row r="170" spans="1:23">
      <c r="A170" s="565">
        <v>864</v>
      </c>
      <c r="B170" s="696" t="s">
        <v>5577</v>
      </c>
      <c r="C170" s="566">
        <f t="shared" si="2"/>
        <v>864</v>
      </c>
      <c r="D170" s="700" t="s">
        <v>2218</v>
      </c>
      <c r="E170" s="701" t="s">
        <v>8051</v>
      </c>
      <c r="F170" s="566">
        <v>1</v>
      </c>
      <c r="G170" s="662">
        <v>37638.247168962531</v>
      </c>
      <c r="H170" s="662">
        <v>38646.52906961109</v>
      </c>
      <c r="I170" s="662">
        <v>39707.871760873633</v>
      </c>
      <c r="J170" s="662">
        <v>40825.091956168697</v>
      </c>
      <c r="K170" s="566" t="s">
        <v>1828</v>
      </c>
      <c r="L170" s="549"/>
      <c r="M170" s="715"/>
      <c r="O170" s="716"/>
      <c r="S170" s="654"/>
      <c r="T170" s="547"/>
      <c r="U170" s="547"/>
      <c r="V170" s="547"/>
      <c r="W170" s="549"/>
    </row>
    <row r="171" spans="1:23">
      <c r="A171" s="565">
        <v>865</v>
      </c>
      <c r="B171" s="696" t="s">
        <v>5578</v>
      </c>
      <c r="C171" s="566">
        <f t="shared" si="2"/>
        <v>865</v>
      </c>
      <c r="D171" s="700" t="s">
        <v>2218</v>
      </c>
      <c r="E171" s="701" t="s">
        <v>8052</v>
      </c>
      <c r="F171" s="566">
        <v>1</v>
      </c>
      <c r="G171" s="662">
        <v>45127.467356805952</v>
      </c>
      <c r="H171" s="662">
        <v>0</v>
      </c>
      <c r="I171" s="662">
        <v>0</v>
      </c>
      <c r="J171" s="662">
        <v>0</v>
      </c>
      <c r="K171" s="566" t="s">
        <v>5195</v>
      </c>
      <c r="L171" s="549"/>
      <c r="M171" s="714"/>
      <c r="O171" s="716"/>
      <c r="S171" s="654"/>
      <c r="T171" s="547"/>
      <c r="U171" s="547"/>
      <c r="V171" s="547"/>
      <c r="W171" s="549"/>
    </row>
    <row r="172" spans="1:23">
      <c r="A172" s="565">
        <v>866</v>
      </c>
      <c r="B172" s="696" t="s">
        <v>5579</v>
      </c>
      <c r="C172" s="566">
        <f t="shared" si="2"/>
        <v>866</v>
      </c>
      <c r="D172" s="700" t="s">
        <v>2218</v>
      </c>
      <c r="E172" s="701" t="s">
        <v>8053</v>
      </c>
      <c r="F172" s="566">
        <v>1</v>
      </c>
      <c r="G172" s="662">
        <v>44626.802267493484</v>
      </c>
      <c r="H172" s="662">
        <v>45810.278667615472</v>
      </c>
      <c r="I172" s="662">
        <v>46993.72969194092</v>
      </c>
      <c r="J172" s="662">
        <v>48239.478296829395</v>
      </c>
      <c r="K172" s="566" t="s">
        <v>1829</v>
      </c>
      <c r="L172" s="549"/>
      <c r="M172" s="714"/>
      <c r="O172" s="716"/>
      <c r="S172" s="654"/>
      <c r="T172" s="547"/>
      <c r="U172" s="547"/>
      <c r="V172" s="547"/>
      <c r="W172" s="549"/>
    </row>
    <row r="173" spans="1:23">
      <c r="A173" s="565">
        <v>867</v>
      </c>
      <c r="B173" s="696" t="s">
        <v>5580</v>
      </c>
      <c r="C173" s="566">
        <f t="shared" si="2"/>
        <v>867</v>
      </c>
      <c r="D173" s="700" t="s">
        <v>2218</v>
      </c>
      <c r="E173" s="701" t="s">
        <v>8054</v>
      </c>
      <c r="F173" s="566">
        <v>1</v>
      </c>
      <c r="G173" s="662">
        <v>42005.673270504689</v>
      </c>
      <c r="H173" s="662">
        <v>43115.737491168875</v>
      </c>
      <c r="I173" s="662">
        <v>44225.801711833075</v>
      </c>
      <c r="J173" s="662">
        <v>45260.516525025843</v>
      </c>
      <c r="K173" s="566" t="s">
        <v>1830</v>
      </c>
      <c r="L173" s="549"/>
      <c r="M173" s="714"/>
      <c r="O173" s="716"/>
      <c r="S173" s="654"/>
      <c r="T173" s="547"/>
      <c r="U173" s="547"/>
      <c r="V173" s="547"/>
      <c r="W173" s="549"/>
    </row>
    <row r="174" spans="1:23">
      <c r="A174" s="565">
        <v>868</v>
      </c>
      <c r="B174" s="696" t="s">
        <v>5581</v>
      </c>
      <c r="C174" s="566">
        <f t="shared" si="2"/>
        <v>868</v>
      </c>
      <c r="D174" s="700" t="s">
        <v>2218</v>
      </c>
      <c r="E174" s="701" t="s">
        <v>8055</v>
      </c>
      <c r="F174" s="566">
        <v>1</v>
      </c>
      <c r="G174" s="662">
        <v>47277.382152088896</v>
      </c>
      <c r="H174" s="662">
        <v>48535.082757158722</v>
      </c>
      <c r="I174" s="662">
        <v>0</v>
      </c>
      <c r="J174" s="662">
        <v>0</v>
      </c>
      <c r="K174" s="566" t="s">
        <v>1831</v>
      </c>
      <c r="L174" s="549"/>
      <c r="M174" s="713"/>
      <c r="O174" s="716"/>
      <c r="S174" s="654"/>
      <c r="T174" s="547"/>
      <c r="U174" s="547"/>
      <c r="V174" s="547"/>
      <c r="W174" s="549"/>
    </row>
    <row r="175" spans="1:23">
      <c r="A175" s="565">
        <v>869</v>
      </c>
      <c r="B175" s="696" t="s">
        <v>5582</v>
      </c>
      <c r="C175" s="566">
        <f t="shared" si="2"/>
        <v>869</v>
      </c>
      <c r="D175" s="700" t="s">
        <v>2218</v>
      </c>
      <c r="E175" s="701" t="s">
        <v>8056</v>
      </c>
      <c r="F175" s="566">
        <v>1</v>
      </c>
      <c r="G175" s="662">
        <v>52431.287483246633</v>
      </c>
      <c r="H175" s="662">
        <v>0</v>
      </c>
      <c r="I175" s="662">
        <v>0</v>
      </c>
      <c r="J175" s="662">
        <v>0</v>
      </c>
      <c r="K175" s="566" t="s">
        <v>5196</v>
      </c>
      <c r="L175" s="549"/>
      <c r="M175" s="713"/>
      <c r="O175" s="716"/>
      <c r="S175" s="654"/>
      <c r="T175" s="547"/>
      <c r="U175" s="547"/>
      <c r="V175" s="547"/>
      <c r="W175" s="549"/>
    </row>
    <row r="176" spans="1:23">
      <c r="A176" s="565">
        <v>870</v>
      </c>
      <c r="B176" s="696" t="s">
        <v>5583</v>
      </c>
      <c r="C176" s="566">
        <f t="shared" si="2"/>
        <v>870</v>
      </c>
      <c r="D176" s="700" t="s">
        <v>2218</v>
      </c>
      <c r="E176" s="701" t="s">
        <v>8057</v>
      </c>
      <c r="F176" s="566">
        <v>1</v>
      </c>
      <c r="G176" s="662">
        <v>51930.622393934165</v>
      </c>
      <c r="H176" s="662">
        <v>53318.627714356851</v>
      </c>
      <c r="I176" s="662">
        <v>54706.607658982968</v>
      </c>
      <c r="J176" s="662">
        <v>56000.388797480337</v>
      </c>
      <c r="K176" s="566" t="s">
        <v>1832</v>
      </c>
      <c r="L176" s="549"/>
      <c r="M176" s="713"/>
      <c r="O176" s="716"/>
      <c r="S176" s="654"/>
      <c r="T176" s="547"/>
      <c r="U176" s="547"/>
      <c r="V176" s="547"/>
      <c r="W176" s="549"/>
    </row>
    <row r="177" spans="1:23">
      <c r="A177" s="565">
        <v>871</v>
      </c>
      <c r="B177" s="696" t="s">
        <v>5584</v>
      </c>
      <c r="C177" s="566">
        <f t="shared" si="2"/>
        <v>871</v>
      </c>
      <c r="D177" s="700" t="s">
        <v>2218</v>
      </c>
      <c r="E177" s="701" t="s">
        <v>8058</v>
      </c>
      <c r="F177" s="566">
        <v>1</v>
      </c>
      <c r="G177" s="662">
        <v>53285.363223838489</v>
      </c>
      <c r="H177" s="662">
        <v>54711.305360123384</v>
      </c>
      <c r="I177" s="662">
        <v>56137.222120611776</v>
      </c>
      <c r="J177" s="662">
        <v>57638.200487334536</v>
      </c>
      <c r="K177" s="566" t="s">
        <v>3000</v>
      </c>
      <c r="L177" s="549"/>
      <c r="M177" s="713"/>
      <c r="O177" s="716"/>
      <c r="S177" s="654"/>
      <c r="T177" s="547"/>
      <c r="U177" s="547"/>
      <c r="V177" s="547"/>
      <c r="W177" s="549"/>
    </row>
    <row r="178" spans="1:23">
      <c r="A178" s="565">
        <v>872</v>
      </c>
      <c r="B178" s="696" t="s">
        <v>5585</v>
      </c>
      <c r="C178" s="566">
        <f t="shared" si="2"/>
        <v>872</v>
      </c>
      <c r="D178" s="700" t="s">
        <v>2218</v>
      </c>
      <c r="E178" s="701" t="s">
        <v>8059</v>
      </c>
      <c r="F178" s="566">
        <v>1</v>
      </c>
      <c r="G178" s="662">
        <v>0</v>
      </c>
      <c r="H178" s="662">
        <v>0</v>
      </c>
      <c r="I178" s="662">
        <v>54356.922442140742</v>
      </c>
      <c r="J178" s="662">
        <v>55736.223864342217</v>
      </c>
      <c r="K178" s="566" t="s">
        <v>3899</v>
      </c>
      <c r="L178" s="549"/>
      <c r="M178" s="713"/>
      <c r="O178" s="716"/>
      <c r="S178" s="654"/>
      <c r="T178" s="547"/>
      <c r="U178" s="547"/>
      <c r="V178" s="547"/>
      <c r="W178" s="549"/>
    </row>
    <row r="179" spans="1:23">
      <c r="A179" s="565">
        <v>873</v>
      </c>
      <c r="B179" s="696" t="s">
        <v>5586</v>
      </c>
      <c r="C179" s="566">
        <f t="shared" si="2"/>
        <v>873</v>
      </c>
      <c r="D179" s="700" t="s">
        <v>2218</v>
      </c>
      <c r="E179" s="701" t="s">
        <v>8060</v>
      </c>
      <c r="F179" s="566">
        <v>1</v>
      </c>
      <c r="G179" s="662">
        <v>82142.05704734959</v>
      </c>
      <c r="H179" s="662">
        <v>82183.716920963823</v>
      </c>
      <c r="I179" s="662">
        <v>84269.240365587888</v>
      </c>
      <c r="J179" s="662">
        <v>86450.616332789534</v>
      </c>
      <c r="K179" s="566" t="s">
        <v>3001</v>
      </c>
      <c r="L179" s="549"/>
      <c r="M179" s="713"/>
      <c r="O179" s="716"/>
      <c r="S179" s="654"/>
      <c r="T179" s="547"/>
      <c r="U179" s="547"/>
      <c r="V179" s="547"/>
      <c r="W179" s="549"/>
    </row>
    <row r="180" spans="1:23">
      <c r="A180" s="565">
        <v>874</v>
      </c>
      <c r="B180" s="696" t="s">
        <v>5587</v>
      </c>
      <c r="C180" s="566">
        <f t="shared" si="2"/>
        <v>874</v>
      </c>
      <c r="D180" s="700" t="s">
        <v>2218</v>
      </c>
      <c r="E180" s="701" t="s">
        <v>8061</v>
      </c>
      <c r="F180" s="566">
        <v>1</v>
      </c>
      <c r="G180" s="662">
        <v>90770.467636174391</v>
      </c>
      <c r="H180" s="662">
        <v>93078.587096304895</v>
      </c>
      <c r="I180" s="662">
        <v>0</v>
      </c>
      <c r="J180" s="662">
        <v>0</v>
      </c>
      <c r="K180" s="566" t="s">
        <v>3002</v>
      </c>
      <c r="L180" s="549"/>
      <c r="M180" s="713"/>
      <c r="O180" s="716"/>
      <c r="S180" s="654"/>
      <c r="T180" s="547"/>
      <c r="U180" s="547"/>
      <c r="V180" s="547"/>
      <c r="W180" s="549"/>
    </row>
    <row r="181" spans="1:23">
      <c r="A181" s="565">
        <v>875</v>
      </c>
      <c r="B181" s="696" t="s">
        <v>5588</v>
      </c>
      <c r="C181" s="566">
        <f t="shared" si="2"/>
        <v>875</v>
      </c>
      <c r="D181" s="700" t="s">
        <v>2218</v>
      </c>
      <c r="E181" s="701" t="s">
        <v>8062</v>
      </c>
      <c r="F181" s="566">
        <v>1</v>
      </c>
      <c r="G181" s="662">
        <v>89017.039190978976</v>
      </c>
      <c r="H181" s="662">
        <v>91152.577692783379</v>
      </c>
      <c r="I181" s="662">
        <v>93400.423787021849</v>
      </c>
      <c r="J181" s="662">
        <v>0</v>
      </c>
      <c r="K181" s="566" t="s">
        <v>1833</v>
      </c>
      <c r="L181" s="549"/>
      <c r="M181" s="713"/>
      <c r="O181" s="716"/>
      <c r="S181" s="654"/>
      <c r="T181" s="547"/>
      <c r="U181" s="547"/>
      <c r="V181" s="547"/>
      <c r="W181" s="549"/>
    </row>
    <row r="182" spans="1:23">
      <c r="A182" s="565">
        <v>876</v>
      </c>
      <c r="B182" s="696" t="s">
        <v>5589</v>
      </c>
      <c r="C182" s="566">
        <f t="shared" si="2"/>
        <v>876</v>
      </c>
      <c r="D182" s="700" t="s">
        <v>2218</v>
      </c>
      <c r="E182" s="701" t="s">
        <v>8063</v>
      </c>
      <c r="F182" s="566">
        <v>1</v>
      </c>
      <c r="G182" s="662">
        <v>0</v>
      </c>
      <c r="H182" s="662">
        <v>107857.51651236411</v>
      </c>
      <c r="I182" s="662">
        <v>0</v>
      </c>
      <c r="J182" s="662">
        <v>0</v>
      </c>
      <c r="K182" s="566" t="s">
        <v>3003</v>
      </c>
      <c r="L182" s="549"/>
      <c r="M182" s="713"/>
      <c r="O182" s="716"/>
      <c r="S182" s="654"/>
      <c r="T182" s="547"/>
      <c r="U182" s="547"/>
      <c r="V182" s="547"/>
      <c r="W182" s="549"/>
    </row>
    <row r="183" spans="1:23">
      <c r="A183" s="565">
        <v>877</v>
      </c>
      <c r="B183" s="696" t="s">
        <v>5590</v>
      </c>
      <c r="C183" s="566">
        <f t="shared" si="2"/>
        <v>877</v>
      </c>
      <c r="D183" s="700" t="s">
        <v>2218</v>
      </c>
      <c r="E183" s="701" t="s">
        <v>8064</v>
      </c>
      <c r="F183" s="566">
        <v>1</v>
      </c>
      <c r="G183" s="662">
        <v>0</v>
      </c>
      <c r="H183" s="662">
        <v>0</v>
      </c>
      <c r="I183" s="662">
        <v>0</v>
      </c>
      <c r="J183" s="662">
        <v>118875.08277790147</v>
      </c>
      <c r="K183" s="566" t="s">
        <v>4613</v>
      </c>
      <c r="L183" s="549"/>
      <c r="M183" s="706"/>
      <c r="O183" s="716"/>
      <c r="S183" s="654"/>
      <c r="T183" s="547"/>
      <c r="U183" s="547"/>
      <c r="V183" s="547"/>
      <c r="W183" s="549"/>
    </row>
    <row r="184" spans="1:23">
      <c r="A184" s="565">
        <v>878</v>
      </c>
      <c r="B184" s="696" t="s">
        <v>5591</v>
      </c>
      <c r="C184" s="566">
        <f t="shared" si="2"/>
        <v>878</v>
      </c>
      <c r="D184" s="700" t="s">
        <v>2218</v>
      </c>
      <c r="E184" s="701" t="s">
        <v>8065</v>
      </c>
      <c r="F184" s="566">
        <v>1</v>
      </c>
      <c r="G184" s="662">
        <v>51002.52468661125</v>
      </c>
      <c r="H184" s="662">
        <v>52176.986943396398</v>
      </c>
      <c r="I184" s="662">
        <v>53413.265066243592</v>
      </c>
      <c r="J184" s="662">
        <v>54714.612521787611</v>
      </c>
      <c r="K184" s="566" t="s">
        <v>4614</v>
      </c>
      <c r="L184" s="549"/>
      <c r="M184" s="706"/>
      <c r="O184" s="716"/>
      <c r="S184" s="654"/>
      <c r="T184" s="547"/>
      <c r="U184" s="547"/>
      <c r="V184" s="547"/>
      <c r="W184" s="549"/>
    </row>
    <row r="185" spans="1:23">
      <c r="A185" s="565">
        <v>879</v>
      </c>
      <c r="B185" s="696" t="s">
        <v>5592</v>
      </c>
      <c r="C185" s="566">
        <f t="shared" si="2"/>
        <v>879</v>
      </c>
      <c r="D185" s="700" t="s">
        <v>2218</v>
      </c>
      <c r="E185" s="701" t="s">
        <v>8066</v>
      </c>
      <c r="F185" s="566">
        <v>1</v>
      </c>
      <c r="G185" s="662">
        <v>45537.189849141861</v>
      </c>
      <c r="H185" s="662">
        <v>46945.981745319863</v>
      </c>
      <c r="I185" s="662">
        <v>0</v>
      </c>
      <c r="J185" s="662">
        <v>0</v>
      </c>
      <c r="K185" s="566" t="s">
        <v>1834</v>
      </c>
      <c r="L185" s="549"/>
      <c r="M185" s="706"/>
      <c r="O185" s="716"/>
      <c r="S185" s="654"/>
      <c r="T185" s="547"/>
      <c r="U185" s="547"/>
      <c r="V185" s="547"/>
      <c r="W185" s="549"/>
    </row>
    <row r="186" spans="1:23">
      <c r="A186" s="565">
        <v>880</v>
      </c>
      <c r="B186" s="696" t="s">
        <v>5593</v>
      </c>
      <c r="C186" s="566">
        <f t="shared" si="2"/>
        <v>880</v>
      </c>
      <c r="D186" s="700" t="s">
        <v>2218</v>
      </c>
      <c r="E186" s="701" t="s">
        <v>8067</v>
      </c>
      <c r="F186" s="566">
        <v>1</v>
      </c>
      <c r="G186" s="662">
        <v>0</v>
      </c>
      <c r="H186" s="662">
        <v>0</v>
      </c>
      <c r="I186" s="662">
        <v>42568.653350436325</v>
      </c>
      <c r="J186" s="662">
        <v>43921.297130407154</v>
      </c>
      <c r="K186" s="566" t="s">
        <v>3900</v>
      </c>
      <c r="L186" s="549"/>
      <c r="M186" s="706"/>
      <c r="O186" s="716"/>
      <c r="S186" s="654"/>
      <c r="T186" s="547"/>
      <c r="U186" s="547"/>
      <c r="V186" s="547"/>
      <c r="W186" s="549"/>
    </row>
    <row r="187" spans="1:23">
      <c r="A187" s="565">
        <v>881</v>
      </c>
      <c r="B187" s="696" t="s">
        <v>5594</v>
      </c>
      <c r="C187" s="566">
        <f t="shared" si="2"/>
        <v>881</v>
      </c>
      <c r="D187" s="700" t="s">
        <v>2218</v>
      </c>
      <c r="E187" s="701" t="s">
        <v>8068</v>
      </c>
      <c r="F187" s="566">
        <v>1</v>
      </c>
      <c r="G187" s="662">
        <v>0</v>
      </c>
      <c r="H187" s="662">
        <v>41633.023284004586</v>
      </c>
      <c r="I187" s="662">
        <v>42554.557908725568</v>
      </c>
      <c r="J187" s="662">
        <v>43524.580945823691</v>
      </c>
      <c r="K187" s="566" t="s">
        <v>3901</v>
      </c>
      <c r="L187" s="549"/>
      <c r="M187" s="706"/>
      <c r="O187" s="716"/>
      <c r="S187" s="654"/>
      <c r="T187" s="547"/>
      <c r="U187" s="547"/>
      <c r="V187" s="547"/>
      <c r="W187" s="549"/>
    </row>
    <row r="188" spans="1:23">
      <c r="A188" s="565">
        <v>882</v>
      </c>
      <c r="B188" s="696" t="s">
        <v>5595</v>
      </c>
      <c r="C188" s="566">
        <f t="shared" si="2"/>
        <v>882</v>
      </c>
      <c r="D188" s="700" t="s">
        <v>2218</v>
      </c>
      <c r="E188" s="701" t="s">
        <v>8069</v>
      </c>
      <c r="F188" s="566">
        <v>1</v>
      </c>
      <c r="G188" s="662">
        <v>41115.405458017391</v>
      </c>
      <c r="H188" s="662">
        <v>0</v>
      </c>
      <c r="I188" s="662">
        <v>0</v>
      </c>
      <c r="J188" s="662">
        <v>0</v>
      </c>
      <c r="K188" s="566" t="s">
        <v>5197</v>
      </c>
      <c r="L188" s="549"/>
      <c r="M188" s="706"/>
      <c r="O188" s="716"/>
      <c r="S188" s="654"/>
      <c r="T188" s="547"/>
      <c r="U188" s="547"/>
      <c r="V188" s="547"/>
      <c r="W188" s="549"/>
    </row>
    <row r="189" spans="1:23">
      <c r="A189" s="565">
        <v>883</v>
      </c>
      <c r="B189" s="696" t="s">
        <v>5596</v>
      </c>
      <c r="C189" s="566">
        <f t="shared" si="2"/>
        <v>883</v>
      </c>
      <c r="D189" s="700" t="s">
        <v>2218</v>
      </c>
      <c r="E189" s="701" t="s">
        <v>8070</v>
      </c>
      <c r="F189" s="566">
        <v>1</v>
      </c>
      <c r="G189" s="662">
        <v>41957.787220447601</v>
      </c>
      <c r="H189" s="662">
        <v>0</v>
      </c>
      <c r="I189" s="662">
        <v>0</v>
      </c>
      <c r="J189" s="662">
        <v>0</v>
      </c>
      <c r="K189" s="566" t="s">
        <v>5198</v>
      </c>
      <c r="L189" s="549"/>
      <c r="M189" s="706"/>
      <c r="O189" s="712"/>
      <c r="S189" s="654"/>
      <c r="T189" s="547"/>
      <c r="U189" s="547"/>
      <c r="V189" s="547"/>
      <c r="W189" s="549"/>
    </row>
    <row r="190" spans="1:23">
      <c r="A190" s="565">
        <v>884</v>
      </c>
      <c r="B190" s="696" t="s">
        <v>5597</v>
      </c>
      <c r="C190" s="566">
        <f t="shared" si="2"/>
        <v>884</v>
      </c>
      <c r="D190" s="700" t="s">
        <v>2218</v>
      </c>
      <c r="E190" s="701" t="s">
        <v>8071</v>
      </c>
      <c r="F190" s="566">
        <v>1</v>
      </c>
      <c r="G190" s="662">
        <v>0</v>
      </c>
      <c r="H190" s="662">
        <v>0</v>
      </c>
      <c r="I190" s="662">
        <v>40945.54616117206</v>
      </c>
      <c r="J190" s="662">
        <v>41876.801987404397</v>
      </c>
      <c r="K190" s="566" t="s">
        <v>3902</v>
      </c>
      <c r="L190" s="549"/>
      <c r="M190" s="706"/>
      <c r="O190" s="712"/>
      <c r="S190" s="654"/>
      <c r="T190" s="547"/>
      <c r="U190" s="547"/>
      <c r="V190" s="547"/>
      <c r="W190" s="549"/>
    </row>
    <row r="191" spans="1:23">
      <c r="A191" s="565">
        <v>885</v>
      </c>
      <c r="B191" s="696" t="s">
        <v>5598</v>
      </c>
      <c r="C191" s="566">
        <f t="shared" si="2"/>
        <v>885</v>
      </c>
      <c r="D191" s="700" t="s">
        <v>2218</v>
      </c>
      <c r="E191" s="701" t="s">
        <v>8072</v>
      </c>
      <c r="F191" s="566">
        <v>1</v>
      </c>
      <c r="G191" s="662">
        <v>0</v>
      </c>
      <c r="H191" s="662">
        <v>0</v>
      </c>
      <c r="I191" s="662">
        <v>65698.969807500005</v>
      </c>
      <c r="J191" s="662">
        <v>67258.170879305922</v>
      </c>
      <c r="K191" s="566" t="s">
        <v>3903</v>
      </c>
      <c r="L191" s="549"/>
      <c r="M191" s="706"/>
      <c r="O191" s="712"/>
      <c r="S191" s="654"/>
      <c r="T191" s="547"/>
      <c r="U191" s="547"/>
      <c r="V191" s="547"/>
      <c r="W191" s="549"/>
    </row>
    <row r="192" spans="1:23">
      <c r="A192" s="565">
        <v>886</v>
      </c>
      <c r="B192" s="696" t="s">
        <v>5599</v>
      </c>
      <c r="C192" s="566">
        <f t="shared" si="2"/>
        <v>886</v>
      </c>
      <c r="D192" s="700" t="s">
        <v>2218</v>
      </c>
      <c r="E192" s="701" t="s">
        <v>8073</v>
      </c>
      <c r="F192" s="566">
        <v>1</v>
      </c>
      <c r="G192" s="662">
        <v>0</v>
      </c>
      <c r="H192" s="662">
        <v>0</v>
      </c>
      <c r="I192" s="662">
        <v>73528.02617493931</v>
      </c>
      <c r="J192" s="662">
        <v>75231.939609625013</v>
      </c>
      <c r="K192" s="566" t="s">
        <v>4615</v>
      </c>
      <c r="L192" s="549"/>
      <c r="M192" s="706"/>
      <c r="O192" s="712"/>
      <c r="S192" s="654"/>
      <c r="T192" s="547"/>
      <c r="U192" s="547"/>
      <c r="V192" s="547"/>
      <c r="W192" s="549"/>
    </row>
    <row r="193" spans="1:23">
      <c r="A193" s="565">
        <v>887</v>
      </c>
      <c r="B193" s="696" t="s">
        <v>5600</v>
      </c>
      <c r="C193" s="566">
        <f t="shared" si="2"/>
        <v>887</v>
      </c>
      <c r="D193" s="700" t="s">
        <v>2218</v>
      </c>
      <c r="E193" s="701" t="s">
        <v>8074</v>
      </c>
      <c r="F193" s="566">
        <v>1</v>
      </c>
      <c r="G193" s="662">
        <v>0</v>
      </c>
      <c r="H193" s="662">
        <v>0</v>
      </c>
      <c r="I193" s="662">
        <v>74789.209777821845</v>
      </c>
      <c r="J193" s="662">
        <v>76694.105623719763</v>
      </c>
      <c r="K193" s="566" t="s">
        <v>4616</v>
      </c>
      <c r="L193" s="549"/>
      <c r="M193" s="706"/>
      <c r="O193" s="712"/>
      <c r="S193" s="654"/>
      <c r="T193" s="547"/>
      <c r="U193" s="547"/>
      <c r="V193" s="547"/>
      <c r="W193" s="549"/>
    </row>
    <row r="194" spans="1:23">
      <c r="A194" s="565">
        <v>888</v>
      </c>
      <c r="B194" s="696" t="s">
        <v>5601</v>
      </c>
      <c r="C194" s="566">
        <f t="shared" si="2"/>
        <v>888</v>
      </c>
      <c r="D194" s="700" t="s">
        <v>2218</v>
      </c>
      <c r="E194" s="701" t="s">
        <v>8075</v>
      </c>
      <c r="F194" s="566">
        <v>1</v>
      </c>
      <c r="G194" s="662">
        <v>0</v>
      </c>
      <c r="H194" s="662">
        <v>0</v>
      </c>
      <c r="I194" s="662">
        <v>0</v>
      </c>
      <c r="J194" s="662">
        <v>57406.074056580292</v>
      </c>
      <c r="K194" s="566" t="s">
        <v>4617</v>
      </c>
      <c r="L194" s="549"/>
      <c r="M194" s="706"/>
      <c r="O194" s="712"/>
      <c r="S194" s="654"/>
      <c r="T194" s="547"/>
      <c r="U194" s="547"/>
      <c r="V194" s="547"/>
      <c r="W194" s="549"/>
    </row>
    <row r="195" spans="1:23">
      <c r="A195" s="565">
        <v>889</v>
      </c>
      <c r="B195" s="696" t="s">
        <v>5602</v>
      </c>
      <c r="C195" s="566">
        <f t="shared" si="2"/>
        <v>889</v>
      </c>
      <c r="D195" s="700" t="s">
        <v>2218</v>
      </c>
      <c r="E195" s="701" t="s">
        <v>8076</v>
      </c>
      <c r="F195" s="566">
        <v>1</v>
      </c>
      <c r="G195" s="662">
        <v>36763.807501021976</v>
      </c>
      <c r="H195" s="662">
        <v>37673.97054132176</v>
      </c>
      <c r="I195" s="662">
        <v>38632.062515088444</v>
      </c>
      <c r="J195" s="662">
        <v>39704.062413293279</v>
      </c>
      <c r="K195" s="566" t="s">
        <v>1835</v>
      </c>
      <c r="L195" s="549"/>
      <c r="M195" s="706"/>
      <c r="O195" s="712"/>
      <c r="S195" s="654"/>
      <c r="T195" s="547"/>
      <c r="U195" s="547"/>
      <c r="V195" s="547"/>
      <c r="W195" s="549"/>
    </row>
    <row r="196" spans="1:23">
      <c r="A196" s="565">
        <v>890</v>
      </c>
      <c r="B196" s="696" t="s">
        <v>5603</v>
      </c>
      <c r="C196" s="566">
        <f t="shared" si="2"/>
        <v>890</v>
      </c>
      <c r="D196" s="700" t="s">
        <v>2218</v>
      </c>
      <c r="E196" s="701" t="s">
        <v>8077</v>
      </c>
      <c r="F196" s="566">
        <v>1</v>
      </c>
      <c r="G196" s="662">
        <v>24927.132305923562</v>
      </c>
      <c r="H196" s="662">
        <v>25525.873662412036</v>
      </c>
      <c r="I196" s="662">
        <v>26156.123266994207</v>
      </c>
      <c r="J196" s="662">
        <v>26819.552813155253</v>
      </c>
      <c r="K196" s="566" t="s">
        <v>1836</v>
      </c>
      <c r="L196" s="549"/>
      <c r="M196" s="706"/>
      <c r="O196" s="712"/>
      <c r="S196" s="654"/>
      <c r="T196" s="547"/>
      <c r="U196" s="547"/>
      <c r="V196" s="547"/>
      <c r="W196" s="549"/>
    </row>
    <row r="197" spans="1:23">
      <c r="A197" s="565">
        <v>891</v>
      </c>
      <c r="B197" s="696" t="s">
        <v>5604</v>
      </c>
      <c r="C197" s="566">
        <f t="shared" si="2"/>
        <v>891</v>
      </c>
      <c r="D197" s="700" t="s">
        <v>2218</v>
      </c>
      <c r="E197" s="701" t="s">
        <v>8078</v>
      </c>
      <c r="F197" s="566">
        <v>1</v>
      </c>
      <c r="G197" s="662">
        <v>24195.013775801563</v>
      </c>
      <c r="H197" s="662">
        <v>24819.803925710676</v>
      </c>
      <c r="I197" s="662">
        <v>25477.477767720284</v>
      </c>
      <c r="J197" s="662">
        <v>26169.770477346607</v>
      </c>
      <c r="K197" s="566" t="s">
        <v>1837</v>
      </c>
      <c r="L197" s="549"/>
      <c r="M197" s="706"/>
      <c r="O197" s="712"/>
      <c r="S197" s="654"/>
      <c r="T197" s="547"/>
      <c r="U197" s="547"/>
      <c r="V197" s="547"/>
      <c r="W197" s="549"/>
    </row>
    <row r="198" spans="1:23">
      <c r="A198" s="565">
        <v>892</v>
      </c>
      <c r="B198" s="696" t="s">
        <v>5605</v>
      </c>
      <c r="C198" s="566">
        <f t="shared" si="2"/>
        <v>892</v>
      </c>
      <c r="D198" s="700" t="s">
        <v>2218</v>
      </c>
      <c r="E198" s="701" t="s">
        <v>8079</v>
      </c>
      <c r="F198" s="566">
        <v>1</v>
      </c>
      <c r="G198" s="662">
        <v>0</v>
      </c>
      <c r="H198" s="662">
        <v>0</v>
      </c>
      <c r="I198" s="662">
        <v>44647.939884754262</v>
      </c>
      <c r="J198" s="662">
        <v>45765.562202630041</v>
      </c>
      <c r="K198" s="566" t="s">
        <v>3904</v>
      </c>
      <c r="L198" s="549"/>
      <c r="M198" s="706"/>
      <c r="O198" s="712"/>
      <c r="S198" s="654"/>
      <c r="T198" s="547"/>
      <c r="U198" s="547"/>
      <c r="V198" s="547"/>
      <c r="W198" s="549"/>
    </row>
    <row r="199" spans="1:23">
      <c r="A199" s="565">
        <v>893</v>
      </c>
      <c r="B199" s="696" t="s">
        <v>5606</v>
      </c>
      <c r="C199" s="566">
        <f t="shared" si="2"/>
        <v>893</v>
      </c>
      <c r="D199" s="700" t="s">
        <v>2218</v>
      </c>
      <c r="E199" s="701" t="s">
        <v>8080</v>
      </c>
      <c r="F199" s="566">
        <v>1</v>
      </c>
      <c r="G199" s="662">
        <v>0</v>
      </c>
      <c r="H199" s="662">
        <v>0</v>
      </c>
      <c r="I199" s="662">
        <v>45617.503398482149</v>
      </c>
      <c r="J199" s="662">
        <v>46760.624332175867</v>
      </c>
      <c r="K199" s="566" t="s">
        <v>3905</v>
      </c>
      <c r="L199" s="549"/>
      <c r="M199" s="706"/>
      <c r="O199" s="712"/>
      <c r="S199" s="654"/>
      <c r="T199" s="547"/>
      <c r="U199" s="547"/>
      <c r="V199" s="547"/>
      <c r="W199" s="549"/>
    </row>
    <row r="200" spans="1:23">
      <c r="A200" s="565">
        <v>894</v>
      </c>
      <c r="B200" s="696" t="s">
        <v>5607</v>
      </c>
      <c r="C200" s="566">
        <f t="shared" si="2"/>
        <v>894</v>
      </c>
      <c r="D200" s="700" t="s">
        <v>2218</v>
      </c>
      <c r="E200" s="701" t="s">
        <v>8081</v>
      </c>
      <c r="F200" s="566">
        <v>1</v>
      </c>
      <c r="G200" s="662">
        <v>33686.843549036428</v>
      </c>
      <c r="H200" s="662">
        <v>34559.721476414037</v>
      </c>
      <c r="I200" s="662">
        <v>35478.539233617994</v>
      </c>
      <c r="J200" s="662">
        <v>36445.709137829414</v>
      </c>
      <c r="K200" s="566" t="s">
        <v>932</v>
      </c>
      <c r="L200" s="549"/>
      <c r="M200" s="706"/>
      <c r="O200" s="712"/>
      <c r="S200" s="654"/>
      <c r="T200" s="547"/>
      <c r="U200" s="547"/>
      <c r="V200" s="547"/>
      <c r="W200" s="549"/>
    </row>
    <row r="201" spans="1:23">
      <c r="A201" s="565">
        <v>895</v>
      </c>
      <c r="B201" s="696" t="s">
        <v>5608</v>
      </c>
      <c r="C201" s="566">
        <f t="shared" ref="C201:C264" si="3">A201</f>
        <v>895</v>
      </c>
      <c r="D201" s="700" t="s">
        <v>2218</v>
      </c>
      <c r="E201" s="701" t="s">
        <v>8082</v>
      </c>
      <c r="F201" s="566">
        <v>1</v>
      </c>
      <c r="G201" s="662">
        <v>41045.798005913828</v>
      </c>
      <c r="H201" s="662">
        <v>42122.474413741722</v>
      </c>
      <c r="I201" s="662">
        <v>43255.840275325827</v>
      </c>
      <c r="J201" s="662">
        <v>44448.836924772979</v>
      </c>
      <c r="K201" s="566" t="s">
        <v>933</v>
      </c>
      <c r="L201" s="549"/>
      <c r="M201" s="706"/>
      <c r="O201" s="712"/>
      <c r="S201" s="654"/>
      <c r="T201" s="547"/>
      <c r="U201" s="547"/>
      <c r="V201" s="547"/>
      <c r="W201" s="549"/>
    </row>
    <row r="202" spans="1:23">
      <c r="A202" s="565">
        <v>896</v>
      </c>
      <c r="B202" s="696" t="s">
        <v>5609</v>
      </c>
      <c r="C202" s="566">
        <f t="shared" si="3"/>
        <v>896</v>
      </c>
      <c r="D202" s="700" t="s">
        <v>2218</v>
      </c>
      <c r="E202" s="701" t="s">
        <v>8083</v>
      </c>
      <c r="F202" s="566">
        <v>1</v>
      </c>
      <c r="G202" s="662">
        <v>0</v>
      </c>
      <c r="H202" s="662">
        <v>0</v>
      </c>
      <c r="I202" s="662">
        <v>46295.626406118943</v>
      </c>
      <c r="J202" s="662">
        <v>47456.585790546706</v>
      </c>
      <c r="K202" s="566" t="s">
        <v>3906</v>
      </c>
      <c r="L202" s="549"/>
      <c r="M202" s="703"/>
      <c r="O202" s="712"/>
      <c r="S202" s="654"/>
      <c r="T202" s="547"/>
      <c r="U202" s="547"/>
      <c r="V202" s="547"/>
      <c r="W202" s="549"/>
    </row>
    <row r="203" spans="1:23">
      <c r="A203" s="565">
        <v>897</v>
      </c>
      <c r="B203" s="696" t="s">
        <v>5610</v>
      </c>
      <c r="C203" s="566">
        <f t="shared" si="3"/>
        <v>897</v>
      </c>
      <c r="D203" s="700" t="s">
        <v>2219</v>
      </c>
      <c r="E203" s="701" t="s">
        <v>8084</v>
      </c>
      <c r="F203" s="566">
        <v>1</v>
      </c>
      <c r="G203" s="662">
        <v>0</v>
      </c>
      <c r="H203" s="662">
        <v>24143.974580371694</v>
      </c>
      <c r="I203" s="662">
        <v>24926.830654602472</v>
      </c>
      <c r="J203" s="662">
        <v>25750.922497199248</v>
      </c>
      <c r="K203" s="566" t="s">
        <v>3004</v>
      </c>
      <c r="L203" s="549"/>
      <c r="M203" s="703"/>
      <c r="O203" s="712"/>
      <c r="S203" s="654"/>
      <c r="T203" s="547"/>
      <c r="U203" s="547"/>
      <c r="V203" s="547"/>
      <c r="W203" s="549"/>
    </row>
    <row r="204" spans="1:23">
      <c r="A204" s="565">
        <v>898</v>
      </c>
      <c r="B204" s="696" t="s">
        <v>5611</v>
      </c>
      <c r="C204" s="566">
        <f t="shared" si="3"/>
        <v>898</v>
      </c>
      <c r="D204" s="700" t="s">
        <v>2219</v>
      </c>
      <c r="E204" s="701" t="s">
        <v>8085</v>
      </c>
      <c r="F204" s="566">
        <v>1</v>
      </c>
      <c r="G204" s="662">
        <v>0</v>
      </c>
      <c r="H204" s="662">
        <v>27453.324755822323</v>
      </c>
      <c r="I204" s="662">
        <v>28354.733664105363</v>
      </c>
      <c r="J204" s="662">
        <v>29303.57201967228</v>
      </c>
      <c r="K204" s="566" t="s">
        <v>3005</v>
      </c>
      <c r="L204" s="549"/>
      <c r="M204" s="702"/>
      <c r="O204" s="708"/>
      <c r="S204" s="654"/>
      <c r="T204" s="547"/>
      <c r="U204" s="547"/>
      <c r="V204" s="547"/>
      <c r="W204" s="549"/>
    </row>
    <row r="205" spans="1:23">
      <c r="A205" s="565">
        <v>899</v>
      </c>
      <c r="B205" s="696" t="s">
        <v>5612</v>
      </c>
      <c r="C205" s="566">
        <f t="shared" si="3"/>
        <v>899</v>
      </c>
      <c r="D205" s="700" t="s">
        <v>2219</v>
      </c>
      <c r="E205" s="701" t="s">
        <v>8086</v>
      </c>
      <c r="F205" s="566">
        <v>1</v>
      </c>
      <c r="G205" s="662">
        <v>0</v>
      </c>
      <c r="H205" s="662">
        <v>26837.631699924543</v>
      </c>
      <c r="I205" s="662">
        <v>27716.9678330036</v>
      </c>
      <c r="J205" s="662">
        <v>28642.611068864637</v>
      </c>
      <c r="K205" s="566" t="s">
        <v>3006</v>
      </c>
      <c r="L205" s="549"/>
      <c r="M205" s="702"/>
      <c r="O205" s="708"/>
      <c r="S205" s="654"/>
      <c r="T205" s="547"/>
      <c r="U205" s="547"/>
      <c r="V205" s="547"/>
      <c r="W205" s="549"/>
    </row>
    <row r="206" spans="1:23">
      <c r="A206" s="565">
        <v>900</v>
      </c>
      <c r="B206" s="696" t="s">
        <v>5613</v>
      </c>
      <c r="C206" s="566">
        <f t="shared" si="3"/>
        <v>900</v>
      </c>
      <c r="D206" s="700" t="s">
        <v>2219</v>
      </c>
      <c r="E206" s="701" t="s">
        <v>8087</v>
      </c>
      <c r="F206" s="566">
        <v>1</v>
      </c>
      <c r="G206" s="662">
        <v>0</v>
      </c>
      <c r="H206" s="662">
        <v>0</v>
      </c>
      <c r="I206" s="662">
        <v>23203.943218242028</v>
      </c>
      <c r="J206" s="662">
        <v>23953.128957415887</v>
      </c>
      <c r="K206" s="566" t="s">
        <v>3907</v>
      </c>
      <c r="L206" s="549"/>
      <c r="M206" s="702"/>
      <c r="O206" s="708"/>
      <c r="S206" s="654"/>
      <c r="T206" s="547"/>
      <c r="U206" s="547"/>
      <c r="V206" s="547"/>
      <c r="W206" s="549"/>
    </row>
    <row r="207" spans="1:23">
      <c r="A207" s="565">
        <v>901</v>
      </c>
      <c r="B207" s="696" t="s">
        <v>5614</v>
      </c>
      <c r="C207" s="566">
        <f t="shared" si="3"/>
        <v>901</v>
      </c>
      <c r="D207" s="700" t="s">
        <v>2219</v>
      </c>
      <c r="E207" s="701" t="s">
        <v>8088</v>
      </c>
      <c r="F207" s="566">
        <v>1</v>
      </c>
      <c r="G207" s="662">
        <v>0</v>
      </c>
      <c r="H207" s="662">
        <v>25298.399060180058</v>
      </c>
      <c r="I207" s="662">
        <v>26122.615607721495</v>
      </c>
      <c r="J207" s="662">
        <v>26990.229476002958</v>
      </c>
      <c r="K207" s="566" t="s">
        <v>3007</v>
      </c>
      <c r="L207" s="549"/>
      <c r="M207" s="702"/>
      <c r="O207" s="708"/>
      <c r="S207" s="654"/>
      <c r="T207" s="547"/>
      <c r="U207" s="547"/>
      <c r="V207" s="547"/>
      <c r="W207" s="549"/>
    </row>
    <row r="208" spans="1:23">
      <c r="A208" s="565">
        <v>902</v>
      </c>
      <c r="B208" s="696" t="s">
        <v>5615</v>
      </c>
      <c r="C208" s="566">
        <f t="shared" si="3"/>
        <v>902</v>
      </c>
      <c r="D208" s="700" t="s">
        <v>2219</v>
      </c>
      <c r="E208" s="701" t="s">
        <v>8089</v>
      </c>
      <c r="F208" s="566">
        <v>1</v>
      </c>
      <c r="G208" s="662">
        <v>0</v>
      </c>
      <c r="H208" s="662">
        <v>0</v>
      </c>
      <c r="I208" s="662">
        <v>27053.653273792854</v>
      </c>
      <c r="J208" s="662">
        <v>27926.089066600995</v>
      </c>
      <c r="K208" s="566" t="s">
        <v>4618</v>
      </c>
      <c r="L208" s="549"/>
      <c r="M208" s="690"/>
      <c r="O208" s="708"/>
      <c r="S208" s="654"/>
      <c r="T208" s="547"/>
      <c r="U208" s="547"/>
      <c r="V208" s="547"/>
      <c r="W208" s="549"/>
    </row>
    <row r="209" spans="1:23">
      <c r="A209" s="565">
        <v>903</v>
      </c>
      <c r="B209" s="696" t="s">
        <v>5616</v>
      </c>
      <c r="C209" s="566">
        <f t="shared" si="3"/>
        <v>903</v>
      </c>
      <c r="D209" s="700" t="s">
        <v>2219</v>
      </c>
      <c r="E209" s="701" t="s">
        <v>8090</v>
      </c>
      <c r="F209" s="566">
        <v>1</v>
      </c>
      <c r="G209" s="662">
        <v>0</v>
      </c>
      <c r="H209" s="662">
        <v>28607.74923563069</v>
      </c>
      <c r="I209" s="662">
        <v>29550.518617224385</v>
      </c>
      <c r="J209" s="662">
        <v>30542.878998475986</v>
      </c>
      <c r="K209" s="566" t="s">
        <v>3008</v>
      </c>
      <c r="L209" s="549"/>
      <c r="M209" s="690"/>
      <c r="O209" s="708"/>
      <c r="S209" s="654"/>
      <c r="T209" s="547"/>
      <c r="U209" s="547"/>
      <c r="V209" s="547"/>
      <c r="W209" s="549"/>
    </row>
    <row r="210" spans="1:23">
      <c r="A210" s="565">
        <v>904</v>
      </c>
      <c r="B210" s="696" t="s">
        <v>5617</v>
      </c>
      <c r="C210" s="566">
        <f t="shared" si="3"/>
        <v>904</v>
      </c>
      <c r="D210" s="700" t="s">
        <v>2219</v>
      </c>
      <c r="E210" s="701" t="s">
        <v>8091</v>
      </c>
      <c r="F210" s="566">
        <v>1</v>
      </c>
      <c r="G210" s="662">
        <v>0</v>
      </c>
      <c r="H210" s="662">
        <v>27992.056179732899</v>
      </c>
      <c r="I210" s="662">
        <v>28912.794354437494</v>
      </c>
      <c r="J210" s="662">
        <v>29881.918047668336</v>
      </c>
      <c r="K210" s="566" t="s">
        <v>3009</v>
      </c>
      <c r="L210" s="549"/>
      <c r="M210" s="690"/>
      <c r="O210" s="708"/>
      <c r="S210" s="654"/>
      <c r="T210" s="547"/>
      <c r="U210" s="547"/>
      <c r="V210" s="547"/>
      <c r="W210" s="549"/>
    </row>
    <row r="211" spans="1:23">
      <c r="A211" s="565">
        <v>905</v>
      </c>
      <c r="B211" s="696" t="s">
        <v>5618</v>
      </c>
      <c r="C211" s="566">
        <f t="shared" si="3"/>
        <v>905</v>
      </c>
      <c r="D211" s="700" t="s">
        <v>2219</v>
      </c>
      <c r="E211" s="701" t="s">
        <v>8092</v>
      </c>
      <c r="F211" s="566">
        <v>1</v>
      </c>
      <c r="G211" s="662">
        <v>0</v>
      </c>
      <c r="H211" s="662">
        <v>29069.519027554037</v>
      </c>
      <c r="I211" s="662">
        <v>30028.832598471992</v>
      </c>
      <c r="J211" s="662">
        <v>31038.610103660438</v>
      </c>
      <c r="K211" s="566" t="s">
        <v>3010</v>
      </c>
      <c r="L211" s="549"/>
      <c r="M211" s="690"/>
      <c r="O211" s="708"/>
      <c r="S211" s="654"/>
      <c r="T211" s="547"/>
      <c r="U211" s="547"/>
      <c r="V211" s="547"/>
      <c r="W211" s="549"/>
    </row>
    <row r="212" spans="1:23">
      <c r="A212" s="565">
        <v>906</v>
      </c>
      <c r="B212" s="696" t="s">
        <v>5619</v>
      </c>
      <c r="C212" s="566">
        <f t="shared" si="3"/>
        <v>906</v>
      </c>
      <c r="D212" s="700" t="s">
        <v>2219</v>
      </c>
      <c r="E212" s="701" t="s">
        <v>8093</v>
      </c>
      <c r="F212" s="566">
        <v>1</v>
      </c>
      <c r="G212" s="662">
        <v>20015.292046594481</v>
      </c>
      <c r="H212" s="662">
        <v>20671.240055481099</v>
      </c>
      <c r="I212" s="662">
        <v>0</v>
      </c>
      <c r="J212" s="662">
        <v>0</v>
      </c>
      <c r="K212" s="566" t="s">
        <v>934</v>
      </c>
      <c r="L212" s="549"/>
      <c r="M212" s="690"/>
      <c r="O212" s="708"/>
      <c r="S212" s="654"/>
      <c r="T212" s="547"/>
      <c r="U212" s="547"/>
      <c r="V212" s="547"/>
      <c r="W212" s="549"/>
    </row>
    <row r="213" spans="1:23">
      <c r="A213" s="565">
        <v>907</v>
      </c>
      <c r="B213" s="696" t="s">
        <v>5620</v>
      </c>
      <c r="C213" s="566">
        <f t="shared" si="3"/>
        <v>907</v>
      </c>
      <c r="D213" s="700" t="s">
        <v>2219</v>
      </c>
      <c r="E213" s="701" t="s">
        <v>8094</v>
      </c>
      <c r="F213" s="566">
        <v>1</v>
      </c>
      <c r="G213" s="662">
        <v>20693.671223293946</v>
      </c>
      <c r="H213" s="662">
        <v>21384.993868147769</v>
      </c>
      <c r="I213" s="662">
        <v>0</v>
      </c>
      <c r="J213" s="662">
        <v>0</v>
      </c>
      <c r="K213" s="566" t="s">
        <v>935</v>
      </c>
      <c r="L213" s="549"/>
      <c r="M213" s="690"/>
      <c r="O213" s="708"/>
      <c r="S213" s="654"/>
      <c r="T213" s="547"/>
      <c r="U213" s="547"/>
      <c r="V213" s="547"/>
      <c r="W213" s="549"/>
    </row>
    <row r="214" spans="1:23">
      <c r="A214" s="565">
        <v>908</v>
      </c>
      <c r="B214" s="696" t="s">
        <v>5621</v>
      </c>
      <c r="C214" s="566">
        <f t="shared" si="3"/>
        <v>908</v>
      </c>
      <c r="D214" s="700" t="s">
        <v>2219</v>
      </c>
      <c r="E214" s="701" t="s">
        <v>8095</v>
      </c>
      <c r="F214" s="566">
        <v>1</v>
      </c>
      <c r="G214" s="662">
        <v>21907.789605868009</v>
      </c>
      <c r="H214" s="662">
        <v>22644.712692150773</v>
      </c>
      <c r="I214" s="662">
        <v>0</v>
      </c>
      <c r="J214" s="662">
        <v>0</v>
      </c>
      <c r="K214" s="566" t="s">
        <v>936</v>
      </c>
      <c r="L214" s="549"/>
      <c r="M214" s="690"/>
      <c r="O214" s="708"/>
      <c r="S214" s="654"/>
      <c r="T214" s="547"/>
      <c r="U214" s="547"/>
      <c r="V214" s="547"/>
      <c r="W214" s="549"/>
    </row>
    <row r="215" spans="1:23">
      <c r="A215" s="565">
        <v>909</v>
      </c>
      <c r="B215" s="696" t="s">
        <v>5622</v>
      </c>
      <c r="C215" s="566">
        <f t="shared" si="3"/>
        <v>909</v>
      </c>
      <c r="D215" s="700" t="s">
        <v>2219</v>
      </c>
      <c r="E215" s="701" t="s">
        <v>8096</v>
      </c>
      <c r="F215" s="566">
        <v>1</v>
      </c>
      <c r="G215" s="662">
        <v>21202.019621699979</v>
      </c>
      <c r="H215" s="662">
        <v>21901.905339420133</v>
      </c>
      <c r="I215" s="662">
        <v>0</v>
      </c>
      <c r="J215" s="662">
        <v>0</v>
      </c>
      <c r="K215" s="566" t="s">
        <v>937</v>
      </c>
      <c r="L215" s="549"/>
      <c r="M215" s="690"/>
      <c r="O215" s="708"/>
      <c r="S215" s="654"/>
      <c r="T215" s="547"/>
      <c r="U215" s="547"/>
      <c r="V215" s="547"/>
      <c r="W215" s="549"/>
    </row>
    <row r="216" spans="1:23">
      <c r="A216" s="565">
        <v>910</v>
      </c>
      <c r="B216" s="696" t="s">
        <v>5623</v>
      </c>
      <c r="C216" s="566">
        <f t="shared" si="3"/>
        <v>910</v>
      </c>
      <c r="D216" s="700" t="s">
        <v>2219</v>
      </c>
      <c r="E216" s="701" t="s">
        <v>8097</v>
      </c>
      <c r="F216" s="566">
        <v>1</v>
      </c>
      <c r="G216" s="662">
        <v>24403.396564991315</v>
      </c>
      <c r="H216" s="662">
        <v>25234.056201339932</v>
      </c>
      <c r="I216" s="662">
        <v>0</v>
      </c>
      <c r="J216" s="662">
        <v>0</v>
      </c>
      <c r="K216" s="566" t="s">
        <v>938</v>
      </c>
      <c r="L216" s="549"/>
      <c r="M216" s="690"/>
      <c r="O216" s="708"/>
      <c r="S216" s="654"/>
      <c r="T216" s="547"/>
      <c r="U216" s="547"/>
      <c r="V216" s="547"/>
      <c r="W216" s="549"/>
    </row>
    <row r="217" spans="1:23">
      <c r="A217" s="565">
        <v>911</v>
      </c>
      <c r="B217" s="696" t="s">
        <v>5624</v>
      </c>
      <c r="C217" s="566">
        <f t="shared" si="3"/>
        <v>911</v>
      </c>
      <c r="D217" s="700" t="s">
        <v>2219</v>
      </c>
      <c r="E217" s="701" t="s">
        <v>8098</v>
      </c>
      <c r="F217" s="566">
        <v>1</v>
      </c>
      <c r="G217" s="662">
        <v>22190.959267621234</v>
      </c>
      <c r="H217" s="662">
        <v>22927.425102440251</v>
      </c>
      <c r="I217" s="662">
        <v>0</v>
      </c>
      <c r="J217" s="662">
        <v>0</v>
      </c>
      <c r="K217" s="566" t="s">
        <v>939</v>
      </c>
      <c r="L217" s="549"/>
      <c r="M217" s="690"/>
      <c r="O217" s="708"/>
      <c r="S217" s="654"/>
      <c r="T217" s="547"/>
      <c r="U217" s="547"/>
      <c r="V217" s="547"/>
      <c r="W217" s="549"/>
    </row>
    <row r="218" spans="1:23">
      <c r="A218" s="565">
        <v>912</v>
      </c>
      <c r="B218" s="696" t="s">
        <v>5625</v>
      </c>
      <c r="C218" s="566">
        <f t="shared" si="3"/>
        <v>912</v>
      </c>
      <c r="D218" s="700" t="s">
        <v>2219</v>
      </c>
      <c r="E218" s="701" t="s">
        <v>8099</v>
      </c>
      <c r="F218" s="566">
        <v>1</v>
      </c>
      <c r="G218" s="662">
        <v>23189.319750732127</v>
      </c>
      <c r="H218" s="662">
        <v>23974.378945651813</v>
      </c>
      <c r="I218" s="662">
        <v>0</v>
      </c>
      <c r="J218" s="662">
        <v>0</v>
      </c>
      <c r="K218" s="566" t="s">
        <v>940</v>
      </c>
      <c r="L218" s="549"/>
      <c r="M218" s="690"/>
      <c r="O218" s="708"/>
      <c r="S218" s="654"/>
      <c r="T218" s="547"/>
      <c r="U218" s="547"/>
      <c r="V218" s="547"/>
      <c r="W218" s="549"/>
    </row>
    <row r="219" spans="1:23">
      <c r="A219" s="565">
        <v>913</v>
      </c>
      <c r="B219" s="696" t="s">
        <v>5626</v>
      </c>
      <c r="C219" s="566">
        <f t="shared" si="3"/>
        <v>913</v>
      </c>
      <c r="D219" s="700" t="s">
        <v>2219</v>
      </c>
      <c r="E219" s="701" t="s">
        <v>8100</v>
      </c>
      <c r="F219" s="566">
        <v>1</v>
      </c>
      <c r="G219" s="662">
        <v>22454.676506533564</v>
      </c>
      <c r="H219" s="662">
        <v>23200.910895350586</v>
      </c>
      <c r="I219" s="662">
        <v>0</v>
      </c>
      <c r="J219" s="662">
        <v>0</v>
      </c>
      <c r="K219" s="566" t="s">
        <v>941</v>
      </c>
      <c r="L219" s="549"/>
      <c r="M219" s="690"/>
      <c r="O219" s="708"/>
      <c r="S219" s="654"/>
      <c r="T219" s="547"/>
      <c r="U219" s="547"/>
      <c r="V219" s="547"/>
      <c r="W219" s="549"/>
    </row>
    <row r="220" spans="1:23">
      <c r="A220" s="565">
        <v>914</v>
      </c>
      <c r="B220" s="696" t="s">
        <v>5627</v>
      </c>
      <c r="C220" s="566">
        <f t="shared" si="3"/>
        <v>914</v>
      </c>
      <c r="D220" s="700" t="s">
        <v>2219</v>
      </c>
      <c r="E220" s="701" t="s">
        <v>8101</v>
      </c>
      <c r="F220" s="566">
        <v>1</v>
      </c>
      <c r="G220" s="662">
        <v>21004.231692515732</v>
      </c>
      <c r="H220" s="662">
        <v>21696.759818501221</v>
      </c>
      <c r="I220" s="662">
        <v>0</v>
      </c>
      <c r="J220" s="662">
        <v>0</v>
      </c>
      <c r="K220" s="566" t="s">
        <v>942</v>
      </c>
      <c r="L220" s="549"/>
      <c r="M220" s="690"/>
      <c r="O220" s="708"/>
      <c r="S220" s="654"/>
      <c r="T220" s="547"/>
      <c r="U220" s="547"/>
      <c r="V220" s="547"/>
      <c r="W220" s="549"/>
    </row>
    <row r="221" spans="1:23">
      <c r="A221" s="565">
        <v>915</v>
      </c>
      <c r="B221" s="696" t="s">
        <v>5628</v>
      </c>
      <c r="C221" s="566">
        <f t="shared" si="3"/>
        <v>915</v>
      </c>
      <c r="D221" s="700" t="s">
        <v>2219</v>
      </c>
      <c r="E221" s="701" t="s">
        <v>8102</v>
      </c>
      <c r="F221" s="566">
        <v>1</v>
      </c>
      <c r="G221" s="662">
        <v>21705.429614053184</v>
      </c>
      <c r="H221" s="662">
        <v>22434.745698711977</v>
      </c>
      <c r="I221" s="662">
        <v>0</v>
      </c>
      <c r="J221" s="662">
        <v>0</v>
      </c>
      <c r="K221" s="566" t="s">
        <v>943</v>
      </c>
      <c r="L221" s="549"/>
      <c r="M221" s="690"/>
      <c r="O221" s="708"/>
      <c r="S221" s="654"/>
      <c r="T221" s="547"/>
      <c r="U221" s="547"/>
      <c r="V221" s="547"/>
      <c r="W221" s="549"/>
    </row>
    <row r="222" spans="1:23">
      <c r="A222" s="565">
        <v>916</v>
      </c>
      <c r="B222" s="696" t="s">
        <v>5629</v>
      </c>
      <c r="C222" s="566">
        <f t="shared" si="3"/>
        <v>916</v>
      </c>
      <c r="D222" s="700" t="s">
        <v>2219</v>
      </c>
      <c r="E222" s="701" t="s">
        <v>8103</v>
      </c>
      <c r="F222" s="566">
        <v>1</v>
      </c>
      <c r="G222" s="662">
        <v>22919.506428312361</v>
      </c>
      <c r="H222" s="662">
        <v>23694.422954400092</v>
      </c>
      <c r="I222" s="662">
        <v>0</v>
      </c>
      <c r="J222" s="662">
        <v>0</v>
      </c>
      <c r="K222" s="566" t="s">
        <v>944</v>
      </c>
      <c r="L222" s="549"/>
      <c r="M222" s="690"/>
      <c r="O222" s="708"/>
      <c r="S222" s="654"/>
      <c r="T222" s="547"/>
      <c r="U222" s="547"/>
      <c r="V222" s="547"/>
      <c r="W222" s="549"/>
    </row>
    <row r="223" spans="1:23">
      <c r="A223" s="565">
        <v>917</v>
      </c>
      <c r="B223" s="696" t="s">
        <v>5630</v>
      </c>
      <c r="C223" s="566">
        <f t="shared" si="3"/>
        <v>917</v>
      </c>
      <c r="D223" s="700" t="s">
        <v>2219</v>
      </c>
      <c r="E223" s="701" t="s">
        <v>8104</v>
      </c>
      <c r="F223" s="566">
        <v>1</v>
      </c>
      <c r="G223" s="662">
        <v>22190.959267621234</v>
      </c>
      <c r="H223" s="662">
        <v>22927.425102440251</v>
      </c>
      <c r="I223" s="662">
        <v>0</v>
      </c>
      <c r="J223" s="662">
        <v>0</v>
      </c>
      <c r="K223" s="566" t="s">
        <v>945</v>
      </c>
      <c r="L223" s="549"/>
      <c r="M223" s="690"/>
      <c r="O223" s="708"/>
      <c r="S223" s="654"/>
      <c r="T223" s="547"/>
      <c r="U223" s="547"/>
      <c r="V223" s="547"/>
      <c r="W223" s="549"/>
    </row>
    <row r="224" spans="1:23">
      <c r="A224" s="565">
        <v>918</v>
      </c>
      <c r="B224" s="696" t="s">
        <v>5631</v>
      </c>
      <c r="C224" s="566">
        <f t="shared" si="3"/>
        <v>918</v>
      </c>
      <c r="D224" s="700" t="s">
        <v>2219</v>
      </c>
      <c r="E224" s="701" t="s">
        <v>8105</v>
      </c>
      <c r="F224" s="566">
        <v>1</v>
      </c>
      <c r="G224" s="662">
        <v>25415.11338743566</v>
      </c>
      <c r="H224" s="662">
        <v>26283.766463589254</v>
      </c>
      <c r="I224" s="662">
        <v>0</v>
      </c>
      <c r="J224" s="662">
        <v>0</v>
      </c>
      <c r="K224" s="566" t="s">
        <v>946</v>
      </c>
      <c r="L224" s="549"/>
      <c r="M224" s="690"/>
      <c r="O224" s="708"/>
      <c r="S224" s="654"/>
      <c r="T224" s="547"/>
      <c r="U224" s="547"/>
      <c r="V224" s="547"/>
      <c r="W224" s="549"/>
    </row>
    <row r="225" spans="1:23">
      <c r="A225" s="565">
        <v>919</v>
      </c>
      <c r="B225" s="696" t="s">
        <v>5632</v>
      </c>
      <c r="C225" s="566">
        <f t="shared" si="3"/>
        <v>919</v>
      </c>
      <c r="D225" s="700" t="s">
        <v>2219</v>
      </c>
      <c r="E225" s="701" t="s">
        <v>8106</v>
      </c>
      <c r="F225" s="566">
        <v>1</v>
      </c>
      <c r="G225" s="662">
        <v>23179.898913542478</v>
      </c>
      <c r="H225" s="662">
        <v>23952.94486546038</v>
      </c>
      <c r="I225" s="662">
        <v>0</v>
      </c>
      <c r="J225" s="662">
        <v>0</v>
      </c>
      <c r="K225" s="566" t="s">
        <v>947</v>
      </c>
      <c r="L225" s="549"/>
      <c r="M225" s="690"/>
      <c r="O225" s="708"/>
      <c r="S225" s="654"/>
      <c r="T225" s="547"/>
      <c r="U225" s="547"/>
      <c r="V225" s="547"/>
      <c r="W225" s="549"/>
    </row>
    <row r="226" spans="1:23">
      <c r="A226" s="565">
        <v>920</v>
      </c>
      <c r="B226" s="696" t="s">
        <v>5633</v>
      </c>
      <c r="C226" s="566">
        <f t="shared" si="3"/>
        <v>920</v>
      </c>
      <c r="D226" s="700" t="s">
        <v>2219</v>
      </c>
      <c r="E226" s="701" t="s">
        <v>8107</v>
      </c>
      <c r="F226" s="566">
        <v>1</v>
      </c>
      <c r="G226" s="662">
        <v>24201.03657317648</v>
      </c>
      <c r="H226" s="662">
        <v>25024.089207901136</v>
      </c>
      <c r="I226" s="662">
        <v>0</v>
      </c>
      <c r="J226" s="662">
        <v>0</v>
      </c>
      <c r="K226" s="566" t="s">
        <v>948</v>
      </c>
      <c r="L226" s="549"/>
      <c r="M226" s="690"/>
      <c r="O226" s="708"/>
      <c r="S226" s="654"/>
      <c r="T226" s="547"/>
      <c r="U226" s="547"/>
      <c r="V226" s="547"/>
      <c r="W226" s="549"/>
    </row>
    <row r="227" spans="1:23">
      <c r="A227" s="565">
        <v>921</v>
      </c>
      <c r="B227" s="696" t="s">
        <v>5634</v>
      </c>
      <c r="C227" s="566">
        <f t="shared" si="3"/>
        <v>921</v>
      </c>
      <c r="D227" s="700" t="s">
        <v>2219</v>
      </c>
      <c r="E227" s="701" t="s">
        <v>8108</v>
      </c>
      <c r="F227" s="566">
        <v>1</v>
      </c>
      <c r="G227" s="662">
        <v>24226.430658370704</v>
      </c>
      <c r="H227" s="662">
        <v>25050.439364337719</v>
      </c>
      <c r="I227" s="662">
        <v>25917.803822729871</v>
      </c>
      <c r="J227" s="662">
        <v>26830.810290865844</v>
      </c>
      <c r="K227" s="566" t="s">
        <v>949</v>
      </c>
      <c r="L227" s="549"/>
      <c r="M227" s="690"/>
      <c r="O227" s="708"/>
      <c r="S227" s="654"/>
      <c r="T227" s="547"/>
      <c r="U227" s="547"/>
      <c r="V227" s="547"/>
      <c r="W227" s="549"/>
    </row>
    <row r="228" spans="1:23">
      <c r="A228" s="565">
        <v>922</v>
      </c>
      <c r="B228" s="696" t="s">
        <v>5635</v>
      </c>
      <c r="C228" s="566">
        <f t="shared" si="3"/>
        <v>922</v>
      </c>
      <c r="D228" s="700" t="s">
        <v>2219</v>
      </c>
      <c r="E228" s="701" t="s">
        <v>8109</v>
      </c>
      <c r="F228" s="566">
        <v>1</v>
      </c>
      <c r="G228" s="662">
        <v>26669.159596378882</v>
      </c>
      <c r="H228" s="662">
        <v>27628.76414550102</v>
      </c>
      <c r="I228" s="662">
        <v>0</v>
      </c>
      <c r="J228" s="662">
        <v>0</v>
      </c>
      <c r="K228" s="566" t="s">
        <v>950</v>
      </c>
      <c r="L228" s="549"/>
      <c r="M228" s="690"/>
      <c r="O228" s="708"/>
      <c r="S228" s="654"/>
      <c r="T228" s="547"/>
      <c r="U228" s="547"/>
      <c r="V228" s="547"/>
      <c r="W228" s="549"/>
    </row>
    <row r="229" spans="1:23">
      <c r="A229" s="565">
        <v>923</v>
      </c>
      <c r="B229" s="696" t="s">
        <v>5636</v>
      </c>
      <c r="C229" s="566">
        <f t="shared" si="3"/>
        <v>923</v>
      </c>
      <c r="D229" s="700" t="s">
        <v>2219</v>
      </c>
      <c r="E229" s="701" t="s">
        <v>8110</v>
      </c>
      <c r="F229" s="566">
        <v>1</v>
      </c>
      <c r="G229" s="662">
        <v>32727.066820005766</v>
      </c>
      <c r="H229" s="662">
        <v>33854.815202838086</v>
      </c>
      <c r="I229" s="662">
        <v>0</v>
      </c>
      <c r="J229" s="662">
        <v>0</v>
      </c>
      <c r="K229" s="566" t="s">
        <v>951</v>
      </c>
      <c r="L229" s="549"/>
      <c r="M229" s="690"/>
      <c r="O229" s="708"/>
      <c r="S229" s="654"/>
      <c r="T229" s="547"/>
      <c r="U229" s="547"/>
      <c r="V229" s="547"/>
      <c r="W229" s="549"/>
    </row>
    <row r="230" spans="1:23">
      <c r="A230" s="565">
        <v>924</v>
      </c>
      <c r="B230" s="696" t="s">
        <v>5637</v>
      </c>
      <c r="C230" s="566">
        <f t="shared" si="3"/>
        <v>924</v>
      </c>
      <c r="D230" s="700" t="s">
        <v>2219</v>
      </c>
      <c r="E230" s="701" t="s">
        <v>8111</v>
      </c>
      <c r="F230" s="566">
        <v>1</v>
      </c>
      <c r="G230" s="662">
        <v>31596.273110823266</v>
      </c>
      <c r="H230" s="662">
        <v>32749.461302365264</v>
      </c>
      <c r="I230" s="662">
        <v>33841.959754175019</v>
      </c>
      <c r="J230" s="662">
        <v>0</v>
      </c>
      <c r="K230" s="566" t="s">
        <v>952</v>
      </c>
      <c r="L230" s="549"/>
      <c r="M230" s="690"/>
      <c r="O230" s="708"/>
      <c r="S230" s="654"/>
      <c r="T230" s="547"/>
      <c r="U230" s="547"/>
      <c r="V230" s="547"/>
      <c r="W230" s="549"/>
    </row>
    <row r="231" spans="1:23">
      <c r="A231" s="565">
        <v>925</v>
      </c>
      <c r="B231" s="696" t="s">
        <v>5638</v>
      </c>
      <c r="C231" s="566">
        <f t="shared" si="3"/>
        <v>925</v>
      </c>
      <c r="D231" s="700" t="s">
        <v>2219</v>
      </c>
      <c r="E231" s="701" t="s">
        <v>8112</v>
      </c>
      <c r="F231" s="566">
        <v>1</v>
      </c>
      <c r="G231" s="662">
        <v>27740.287495816083</v>
      </c>
      <c r="H231" s="662">
        <v>28741.959179601934</v>
      </c>
      <c r="I231" s="662">
        <v>29690.922240113516</v>
      </c>
      <c r="J231" s="662">
        <v>30689.850415116951</v>
      </c>
      <c r="K231" s="566" t="s">
        <v>953</v>
      </c>
      <c r="L231" s="549"/>
      <c r="M231" s="690"/>
      <c r="O231" s="708"/>
      <c r="S231" s="654"/>
      <c r="T231" s="547"/>
      <c r="U231" s="547"/>
      <c r="V231" s="547"/>
      <c r="W231" s="549"/>
    </row>
    <row r="232" spans="1:23">
      <c r="A232" s="565">
        <v>926</v>
      </c>
      <c r="B232" s="696" t="s">
        <v>5639</v>
      </c>
      <c r="C232" s="566">
        <f t="shared" si="3"/>
        <v>926</v>
      </c>
      <c r="D232" s="700" t="s">
        <v>2219</v>
      </c>
      <c r="E232" s="701" t="s">
        <v>8113</v>
      </c>
      <c r="F232" s="566">
        <v>1</v>
      </c>
      <c r="G232" s="662">
        <v>33614.00820648222</v>
      </c>
      <c r="H232" s="662">
        <v>34774.553989758882</v>
      </c>
      <c r="I232" s="662">
        <v>35996.163627601716</v>
      </c>
      <c r="J232" s="662">
        <v>37282.079448571778</v>
      </c>
      <c r="K232" s="566" t="s">
        <v>954</v>
      </c>
      <c r="L232" s="549"/>
      <c r="M232" s="690"/>
      <c r="O232" s="708"/>
      <c r="S232" s="654"/>
      <c r="T232" s="547"/>
      <c r="U232" s="547"/>
      <c r="V232" s="547"/>
      <c r="W232" s="549"/>
    </row>
    <row r="233" spans="1:23">
      <c r="A233" s="565">
        <v>927</v>
      </c>
      <c r="B233" s="696" t="s">
        <v>5640</v>
      </c>
      <c r="C233" s="566">
        <f t="shared" si="3"/>
        <v>927</v>
      </c>
      <c r="D233" s="700" t="s">
        <v>2219</v>
      </c>
      <c r="E233" s="701" t="s">
        <v>8114</v>
      </c>
      <c r="F233" s="566">
        <v>1</v>
      </c>
      <c r="G233" s="662">
        <v>32667.359441945599</v>
      </c>
      <c r="H233" s="662">
        <v>33862.656336466178</v>
      </c>
      <c r="I233" s="662">
        <v>34995.060370565625</v>
      </c>
      <c r="J233" s="662">
        <v>0</v>
      </c>
      <c r="K233" s="566" t="s">
        <v>955</v>
      </c>
      <c r="L233" s="549"/>
      <c r="M233" s="690"/>
      <c r="O233" s="708"/>
      <c r="S233" s="654"/>
      <c r="T233" s="547"/>
      <c r="U233" s="547"/>
      <c r="V233" s="547"/>
      <c r="W233" s="549"/>
    </row>
    <row r="234" spans="1:23">
      <c r="A234" s="565">
        <v>928</v>
      </c>
      <c r="B234" s="696" t="s">
        <v>5641</v>
      </c>
      <c r="C234" s="566">
        <f t="shared" si="3"/>
        <v>928</v>
      </c>
      <c r="D234" s="700" t="s">
        <v>2219</v>
      </c>
      <c r="E234" s="701" t="s">
        <v>8115</v>
      </c>
      <c r="F234" s="566">
        <v>1</v>
      </c>
      <c r="G234" s="662">
        <v>29699.272880699013</v>
      </c>
      <c r="H234" s="662">
        <v>0</v>
      </c>
      <c r="I234" s="662">
        <v>0</v>
      </c>
      <c r="J234" s="662">
        <v>0</v>
      </c>
      <c r="K234" s="566" t="s">
        <v>5199</v>
      </c>
      <c r="L234" s="549"/>
      <c r="M234" s="690"/>
      <c r="O234" s="708"/>
      <c r="S234" s="654"/>
      <c r="T234" s="547"/>
      <c r="U234" s="547"/>
      <c r="V234" s="547"/>
      <c r="W234" s="549"/>
    </row>
    <row r="235" spans="1:23">
      <c r="A235" s="565">
        <v>929</v>
      </c>
      <c r="B235" s="696" t="s">
        <v>5642</v>
      </c>
      <c r="C235" s="566">
        <f t="shared" si="3"/>
        <v>929</v>
      </c>
      <c r="D235" s="700" t="s">
        <v>2219</v>
      </c>
      <c r="E235" s="701" t="s">
        <v>8116</v>
      </c>
      <c r="F235" s="566">
        <v>1</v>
      </c>
      <c r="G235" s="662">
        <v>30438.390702762728</v>
      </c>
      <c r="H235" s="662">
        <v>0</v>
      </c>
      <c r="I235" s="662">
        <v>0</v>
      </c>
      <c r="J235" s="662">
        <v>0</v>
      </c>
      <c r="K235" s="566" t="s">
        <v>5200</v>
      </c>
      <c r="L235" s="549"/>
      <c r="M235" s="690"/>
      <c r="O235" s="708"/>
      <c r="S235" s="654"/>
      <c r="T235" s="547"/>
      <c r="U235" s="547"/>
      <c r="V235" s="547"/>
      <c r="W235" s="549"/>
    </row>
    <row r="236" spans="1:23">
      <c r="A236" s="565">
        <v>930</v>
      </c>
      <c r="B236" s="696" t="s">
        <v>5643</v>
      </c>
      <c r="C236" s="566">
        <f t="shared" si="3"/>
        <v>930</v>
      </c>
      <c r="D236" s="700" t="s">
        <v>2219</v>
      </c>
      <c r="E236" s="701" t="s">
        <v>8117</v>
      </c>
      <c r="F236" s="566">
        <v>1</v>
      </c>
      <c r="G236" s="662">
        <v>31822.754276335305</v>
      </c>
      <c r="H236" s="662">
        <v>0</v>
      </c>
      <c r="I236" s="662">
        <v>0</v>
      </c>
      <c r="J236" s="662">
        <v>0</v>
      </c>
      <c r="K236" s="566" t="s">
        <v>5201</v>
      </c>
      <c r="L236" s="549"/>
      <c r="M236" s="690"/>
      <c r="O236" s="708"/>
      <c r="S236" s="654"/>
      <c r="T236" s="547"/>
      <c r="U236" s="547"/>
      <c r="V236" s="547"/>
      <c r="W236" s="549"/>
    </row>
    <row r="237" spans="1:23">
      <c r="A237" s="565">
        <v>931</v>
      </c>
      <c r="B237" s="696" t="s">
        <v>5644</v>
      </c>
      <c r="C237" s="566">
        <f t="shared" si="3"/>
        <v>931</v>
      </c>
      <c r="D237" s="700" t="s">
        <v>2219</v>
      </c>
      <c r="E237" s="701" t="s">
        <v>8118</v>
      </c>
      <c r="F237" s="566">
        <v>1</v>
      </c>
      <c r="G237" s="662">
        <v>32342.358212398853</v>
      </c>
      <c r="H237" s="662">
        <v>0</v>
      </c>
      <c r="I237" s="662">
        <v>0</v>
      </c>
      <c r="J237" s="662">
        <v>0</v>
      </c>
      <c r="K237" s="566" t="s">
        <v>5202</v>
      </c>
      <c r="L237" s="549"/>
      <c r="M237" s="690"/>
      <c r="O237" s="708"/>
      <c r="S237" s="654"/>
      <c r="T237" s="547"/>
      <c r="U237" s="547"/>
      <c r="V237" s="547"/>
      <c r="W237" s="549"/>
    </row>
    <row r="238" spans="1:23">
      <c r="A238" s="565">
        <v>932</v>
      </c>
      <c r="B238" s="696" t="s">
        <v>5645</v>
      </c>
      <c r="C238" s="566">
        <f t="shared" si="3"/>
        <v>932</v>
      </c>
      <c r="D238" s="700" t="s">
        <v>2219</v>
      </c>
      <c r="E238" s="701" t="s">
        <v>8119</v>
      </c>
      <c r="F238" s="566">
        <v>1</v>
      </c>
      <c r="G238" s="662">
        <v>30938.769361147111</v>
      </c>
      <c r="H238" s="662">
        <v>0</v>
      </c>
      <c r="I238" s="662">
        <v>0</v>
      </c>
      <c r="J238" s="662">
        <v>0</v>
      </c>
      <c r="K238" s="566" t="s">
        <v>5203</v>
      </c>
      <c r="L238" s="549"/>
      <c r="M238" s="686"/>
      <c r="O238" s="708"/>
      <c r="S238" s="654"/>
      <c r="T238" s="547"/>
      <c r="U238" s="547"/>
      <c r="V238" s="547"/>
      <c r="W238" s="549"/>
    </row>
    <row r="239" spans="1:23">
      <c r="A239" s="565">
        <v>933</v>
      </c>
      <c r="B239" s="696" t="s">
        <v>5646</v>
      </c>
      <c r="C239" s="566">
        <f t="shared" si="3"/>
        <v>933</v>
      </c>
      <c r="D239" s="700" t="s">
        <v>2219</v>
      </c>
      <c r="E239" s="701" t="s">
        <v>8120</v>
      </c>
      <c r="F239" s="566">
        <v>1</v>
      </c>
      <c r="G239" s="662">
        <v>31458.373297210648</v>
      </c>
      <c r="H239" s="662">
        <v>0</v>
      </c>
      <c r="I239" s="662">
        <v>0</v>
      </c>
      <c r="J239" s="662">
        <v>0</v>
      </c>
      <c r="K239" s="566" t="s">
        <v>5204</v>
      </c>
      <c r="L239" s="549"/>
      <c r="M239" s="686"/>
      <c r="O239" s="708"/>
      <c r="S239" s="654"/>
      <c r="T239" s="547"/>
      <c r="U239" s="547"/>
      <c r="V239" s="547"/>
      <c r="W239" s="549"/>
    </row>
    <row r="240" spans="1:23">
      <c r="A240" s="565">
        <v>934</v>
      </c>
      <c r="B240" s="696" t="s">
        <v>5647</v>
      </c>
      <c r="C240" s="566">
        <f t="shared" si="3"/>
        <v>934</v>
      </c>
      <c r="D240" s="700" t="s">
        <v>2219</v>
      </c>
      <c r="E240" s="701" t="s">
        <v>8121</v>
      </c>
      <c r="F240" s="566">
        <v>1</v>
      </c>
      <c r="G240" s="662">
        <v>32842.736870783236</v>
      </c>
      <c r="H240" s="662">
        <v>0</v>
      </c>
      <c r="I240" s="662">
        <v>0</v>
      </c>
      <c r="J240" s="662">
        <v>0</v>
      </c>
      <c r="K240" s="566" t="s">
        <v>5205</v>
      </c>
      <c r="L240" s="549"/>
      <c r="M240" s="683"/>
      <c r="O240" s="708"/>
      <c r="S240" s="654"/>
      <c r="T240" s="547"/>
      <c r="U240" s="547"/>
      <c r="V240" s="547"/>
      <c r="W240" s="549"/>
    </row>
    <row r="241" spans="1:23">
      <c r="A241" s="565">
        <v>935</v>
      </c>
      <c r="B241" s="696" t="s">
        <v>5648</v>
      </c>
      <c r="C241" s="566">
        <f t="shared" si="3"/>
        <v>935</v>
      </c>
      <c r="D241" s="700" t="s">
        <v>2219</v>
      </c>
      <c r="E241" s="701" t="s">
        <v>8122</v>
      </c>
      <c r="F241" s="566">
        <v>1</v>
      </c>
      <c r="G241" s="662">
        <v>33362.340806846783</v>
      </c>
      <c r="H241" s="662">
        <v>0</v>
      </c>
      <c r="I241" s="662">
        <v>0</v>
      </c>
      <c r="J241" s="662">
        <v>0</v>
      </c>
      <c r="K241" s="566" t="s">
        <v>5206</v>
      </c>
      <c r="L241" s="549"/>
      <c r="M241" s="683"/>
      <c r="O241" s="708"/>
      <c r="S241" s="654"/>
      <c r="T241" s="547"/>
      <c r="U241" s="547"/>
      <c r="V241" s="547"/>
      <c r="W241" s="549"/>
    </row>
    <row r="242" spans="1:23">
      <c r="A242" s="565">
        <v>936</v>
      </c>
      <c r="B242" s="696" t="s">
        <v>5649</v>
      </c>
      <c r="C242" s="566">
        <f t="shared" si="3"/>
        <v>936</v>
      </c>
      <c r="D242" s="700" t="s">
        <v>2219</v>
      </c>
      <c r="E242" s="701" t="s">
        <v>8123</v>
      </c>
      <c r="F242" s="566">
        <v>1</v>
      </c>
      <c r="G242" s="662">
        <v>33120.205808338709</v>
      </c>
      <c r="H242" s="662">
        <v>34261.048210359826</v>
      </c>
      <c r="I242" s="662">
        <v>35461.956827389891</v>
      </c>
      <c r="J242" s="662">
        <v>36726.049283045286</v>
      </c>
      <c r="K242" s="566" t="s">
        <v>956</v>
      </c>
      <c r="L242" s="549"/>
      <c r="M242" s="683"/>
      <c r="O242" s="708"/>
      <c r="S242" s="654"/>
      <c r="T242" s="547"/>
      <c r="U242" s="547"/>
      <c r="V242" s="547"/>
      <c r="W242" s="549"/>
    </row>
    <row r="243" spans="1:23">
      <c r="A243" s="565">
        <v>937</v>
      </c>
      <c r="B243" s="696" t="s">
        <v>5650</v>
      </c>
      <c r="C243" s="566">
        <f t="shared" si="3"/>
        <v>937</v>
      </c>
      <c r="D243" s="700" t="s">
        <v>2219</v>
      </c>
      <c r="E243" s="701" t="s">
        <v>8124</v>
      </c>
      <c r="F243" s="566">
        <v>1</v>
      </c>
      <c r="G243" s="662">
        <v>34789.417462033096</v>
      </c>
      <c r="H243" s="662">
        <v>36018.301554980811</v>
      </c>
      <c r="I243" s="662">
        <v>37247.144079613652</v>
      </c>
      <c r="J243" s="662">
        <v>38540.666902207689</v>
      </c>
      <c r="K243" s="566" t="s">
        <v>957</v>
      </c>
      <c r="L243" s="549"/>
      <c r="M243" s="683"/>
      <c r="O243" s="708"/>
      <c r="S243" s="654"/>
      <c r="T243" s="547"/>
      <c r="U243" s="547"/>
      <c r="V243" s="547"/>
      <c r="W243" s="549"/>
    </row>
    <row r="244" spans="1:23">
      <c r="A244" s="565">
        <v>938</v>
      </c>
      <c r="B244" s="696" t="s">
        <v>5651</v>
      </c>
      <c r="C244" s="566">
        <f t="shared" si="3"/>
        <v>938</v>
      </c>
      <c r="D244" s="700" t="s">
        <v>2219</v>
      </c>
      <c r="E244" s="701" t="s">
        <v>8125</v>
      </c>
      <c r="F244" s="566">
        <v>1</v>
      </c>
      <c r="G244" s="662">
        <v>35270.427661953239</v>
      </c>
      <c r="H244" s="662">
        <v>36517.477108505751</v>
      </c>
      <c r="I244" s="662">
        <v>37764.526555058263</v>
      </c>
      <c r="J244" s="662">
        <v>39077.212370814312</v>
      </c>
      <c r="K244" s="566" t="s">
        <v>958</v>
      </c>
      <c r="L244" s="549"/>
      <c r="M244" s="682"/>
      <c r="O244" s="708"/>
      <c r="S244" s="654"/>
      <c r="T244" s="547"/>
      <c r="U244" s="547"/>
      <c r="V244" s="547"/>
      <c r="W244" s="549"/>
    </row>
    <row r="245" spans="1:23">
      <c r="A245" s="565">
        <v>939</v>
      </c>
      <c r="B245" s="696" t="s">
        <v>5652</v>
      </c>
      <c r="C245" s="566">
        <f t="shared" si="3"/>
        <v>939</v>
      </c>
      <c r="D245" s="700" t="s">
        <v>2219</v>
      </c>
      <c r="E245" s="701" t="s">
        <v>8126</v>
      </c>
      <c r="F245" s="566">
        <v>1</v>
      </c>
      <c r="G245" s="662">
        <v>0</v>
      </c>
      <c r="H245" s="662">
        <v>0</v>
      </c>
      <c r="I245" s="662">
        <v>0</v>
      </c>
      <c r="J245" s="662">
        <v>39463.417869237797</v>
      </c>
      <c r="K245" s="566" t="s">
        <v>4619</v>
      </c>
      <c r="L245" s="549"/>
      <c r="M245" s="681"/>
      <c r="O245" s="708"/>
      <c r="S245" s="654"/>
      <c r="T245" s="547"/>
      <c r="U245" s="547"/>
      <c r="V245" s="547"/>
      <c r="W245" s="549"/>
    </row>
    <row r="246" spans="1:23">
      <c r="A246" s="565">
        <v>940</v>
      </c>
      <c r="B246" s="696" t="s">
        <v>5653</v>
      </c>
      <c r="C246" s="566">
        <f t="shared" si="3"/>
        <v>940</v>
      </c>
      <c r="D246" s="700" t="s">
        <v>2219</v>
      </c>
      <c r="E246" s="701" t="s">
        <v>8127</v>
      </c>
      <c r="F246" s="566">
        <v>1</v>
      </c>
      <c r="G246" s="662">
        <v>0</v>
      </c>
      <c r="H246" s="662">
        <v>0</v>
      </c>
      <c r="I246" s="662">
        <v>0</v>
      </c>
      <c r="J246" s="662">
        <v>38363.965983706017</v>
      </c>
      <c r="K246" s="566" t="s">
        <v>4620</v>
      </c>
      <c r="L246" s="549"/>
      <c r="M246" s="681"/>
      <c r="O246" s="708"/>
      <c r="S246" s="654"/>
      <c r="T246" s="547"/>
      <c r="U246" s="547"/>
      <c r="V246" s="547"/>
      <c r="W246" s="549"/>
    </row>
    <row r="247" spans="1:23">
      <c r="A247" s="565">
        <v>941</v>
      </c>
      <c r="B247" s="696" t="s">
        <v>5654</v>
      </c>
      <c r="C247" s="566">
        <f t="shared" si="3"/>
        <v>941</v>
      </c>
      <c r="D247" s="700" t="s">
        <v>2219</v>
      </c>
      <c r="E247" s="701" t="s">
        <v>8128</v>
      </c>
      <c r="F247" s="566">
        <v>1</v>
      </c>
      <c r="G247" s="662">
        <v>0</v>
      </c>
      <c r="H247" s="662">
        <v>0</v>
      </c>
      <c r="I247" s="662">
        <v>0</v>
      </c>
      <c r="J247" s="662">
        <v>40573.864273624888</v>
      </c>
      <c r="K247" s="566" t="s">
        <v>4621</v>
      </c>
      <c r="L247" s="549"/>
      <c r="M247" s="681"/>
      <c r="O247" s="708"/>
      <c r="S247" s="654"/>
      <c r="T247" s="547"/>
      <c r="U247" s="547"/>
      <c r="V247" s="547"/>
      <c r="W247" s="549"/>
    </row>
    <row r="248" spans="1:23">
      <c r="A248" s="565">
        <v>942</v>
      </c>
      <c r="B248" s="696" t="s">
        <v>5655</v>
      </c>
      <c r="C248" s="566">
        <f t="shared" si="3"/>
        <v>942</v>
      </c>
      <c r="D248" s="700" t="s">
        <v>2219</v>
      </c>
      <c r="E248" s="701" t="s">
        <v>8129</v>
      </c>
      <c r="F248" s="566">
        <v>1</v>
      </c>
      <c r="G248" s="662">
        <v>0</v>
      </c>
      <c r="H248" s="662">
        <v>0</v>
      </c>
      <c r="I248" s="662">
        <v>0</v>
      </c>
      <c r="J248" s="662">
        <v>39474.412388093107</v>
      </c>
      <c r="K248" s="566" t="s">
        <v>4622</v>
      </c>
      <c r="L248" s="549"/>
      <c r="M248" s="681"/>
      <c r="O248" s="708"/>
      <c r="S248" s="654"/>
      <c r="T248" s="547"/>
      <c r="U248" s="547"/>
      <c r="V248" s="547"/>
      <c r="W248" s="549"/>
    </row>
    <row r="249" spans="1:23">
      <c r="A249" s="565">
        <v>943</v>
      </c>
      <c r="B249" s="696" t="s">
        <v>5656</v>
      </c>
      <c r="C249" s="566">
        <f t="shared" si="3"/>
        <v>943</v>
      </c>
      <c r="D249" s="700" t="s">
        <v>2219</v>
      </c>
      <c r="E249" s="701" t="s">
        <v>8130</v>
      </c>
      <c r="F249" s="566">
        <v>1</v>
      </c>
      <c r="G249" s="662">
        <v>0</v>
      </c>
      <c r="H249" s="662">
        <v>0</v>
      </c>
      <c r="I249" s="662">
        <v>0</v>
      </c>
      <c r="J249" s="662">
        <v>41926.190092828976</v>
      </c>
      <c r="K249" s="566" t="s">
        <v>4623</v>
      </c>
      <c r="L249" s="549"/>
      <c r="M249" s="681"/>
      <c r="O249" s="708"/>
      <c r="S249" s="654"/>
      <c r="T249" s="547"/>
      <c r="U249" s="547"/>
      <c r="V249" s="547"/>
      <c r="W249" s="549"/>
    </row>
    <row r="250" spans="1:23">
      <c r="A250" s="565">
        <v>944</v>
      </c>
      <c r="B250" s="696" t="s">
        <v>5657</v>
      </c>
      <c r="C250" s="566">
        <f t="shared" si="3"/>
        <v>944</v>
      </c>
      <c r="D250" s="700" t="s">
        <v>2219</v>
      </c>
      <c r="E250" s="701" t="s">
        <v>8131</v>
      </c>
      <c r="F250" s="566">
        <v>1</v>
      </c>
      <c r="G250" s="662">
        <v>0</v>
      </c>
      <c r="H250" s="662">
        <v>0</v>
      </c>
      <c r="I250" s="662">
        <v>0</v>
      </c>
      <c r="J250" s="662">
        <v>40826.738207297203</v>
      </c>
      <c r="K250" s="566" t="s">
        <v>4624</v>
      </c>
      <c r="L250" s="549"/>
      <c r="M250" s="681"/>
      <c r="O250" s="708"/>
      <c r="S250" s="654"/>
      <c r="T250" s="547"/>
      <c r="U250" s="547"/>
      <c r="V250" s="547"/>
      <c r="W250" s="549"/>
    </row>
    <row r="251" spans="1:23">
      <c r="A251" s="565">
        <v>945</v>
      </c>
      <c r="B251" s="696" t="s">
        <v>5658</v>
      </c>
      <c r="C251" s="566">
        <f t="shared" si="3"/>
        <v>945</v>
      </c>
      <c r="D251" s="700" t="s">
        <v>2219</v>
      </c>
      <c r="E251" s="701" t="s">
        <v>8132</v>
      </c>
      <c r="F251" s="566">
        <v>1</v>
      </c>
      <c r="G251" s="662">
        <v>0</v>
      </c>
      <c r="H251" s="662">
        <v>0</v>
      </c>
      <c r="I251" s="662">
        <v>0</v>
      </c>
      <c r="J251" s="662">
        <v>31680.717255691998</v>
      </c>
      <c r="K251" s="566" t="s">
        <v>4625</v>
      </c>
      <c r="L251" s="549"/>
      <c r="M251" s="681"/>
      <c r="O251" s="708"/>
      <c r="S251" s="654"/>
      <c r="T251" s="547"/>
      <c r="U251" s="547"/>
      <c r="V251" s="547"/>
      <c r="W251" s="549"/>
    </row>
    <row r="252" spans="1:23">
      <c r="A252" s="565">
        <v>946</v>
      </c>
      <c r="B252" s="696" t="s">
        <v>5659</v>
      </c>
      <c r="C252" s="566">
        <f t="shared" si="3"/>
        <v>946</v>
      </c>
      <c r="D252" s="700" t="s">
        <v>2219</v>
      </c>
      <c r="E252" s="701" t="s">
        <v>8133</v>
      </c>
      <c r="F252" s="566">
        <v>1</v>
      </c>
      <c r="G252" s="662">
        <v>0</v>
      </c>
      <c r="H252" s="662">
        <v>0</v>
      </c>
      <c r="I252" s="662">
        <v>0</v>
      </c>
      <c r="J252" s="662">
        <v>25950.675974268535</v>
      </c>
      <c r="K252" s="566" t="s">
        <v>4626</v>
      </c>
      <c r="L252" s="549"/>
      <c r="M252" s="681"/>
      <c r="O252" s="708"/>
      <c r="S252" s="654"/>
      <c r="T252" s="547"/>
      <c r="U252" s="547"/>
      <c r="V252" s="547"/>
      <c r="W252" s="549"/>
    </row>
    <row r="253" spans="1:23">
      <c r="A253" s="565">
        <v>947</v>
      </c>
      <c r="B253" s="696" t="s">
        <v>5660</v>
      </c>
      <c r="C253" s="566">
        <f t="shared" si="3"/>
        <v>947</v>
      </c>
      <c r="D253" s="700" t="s">
        <v>2219</v>
      </c>
      <c r="E253" s="701" t="s">
        <v>8134</v>
      </c>
      <c r="F253" s="566">
        <v>1</v>
      </c>
      <c r="G253" s="662">
        <v>0</v>
      </c>
      <c r="H253" s="662">
        <v>0</v>
      </c>
      <c r="I253" s="662">
        <v>28954.0765795732</v>
      </c>
      <c r="J253" s="662">
        <v>29909.25082145102</v>
      </c>
      <c r="K253" s="566" t="s">
        <v>3908</v>
      </c>
      <c r="L253" s="549"/>
      <c r="M253" s="681"/>
      <c r="O253" s="708"/>
      <c r="S253" s="654"/>
      <c r="T253" s="547"/>
      <c r="U253" s="547"/>
      <c r="V253" s="547"/>
      <c r="W253" s="549"/>
    </row>
    <row r="254" spans="1:23">
      <c r="A254" s="565">
        <v>948</v>
      </c>
      <c r="B254" s="696" t="s">
        <v>5661</v>
      </c>
      <c r="C254" s="566">
        <f t="shared" si="3"/>
        <v>948</v>
      </c>
      <c r="D254" s="700" t="s">
        <v>2219</v>
      </c>
      <c r="E254" s="701" t="s">
        <v>8135</v>
      </c>
      <c r="F254" s="566">
        <v>1</v>
      </c>
      <c r="G254" s="662">
        <v>0</v>
      </c>
      <c r="H254" s="662">
        <v>0</v>
      </c>
      <c r="I254" s="662">
        <v>32488.814391557858</v>
      </c>
      <c r="J254" s="662">
        <v>33570.596969351456</v>
      </c>
      <c r="K254" s="566" t="s">
        <v>3909</v>
      </c>
      <c r="L254" s="549"/>
      <c r="M254" s="681"/>
      <c r="O254" s="708"/>
      <c r="S254" s="654"/>
      <c r="T254" s="547"/>
      <c r="U254" s="547"/>
      <c r="V254" s="547"/>
      <c r="W254" s="549"/>
    </row>
    <row r="255" spans="1:23">
      <c r="A255" s="565">
        <v>949</v>
      </c>
      <c r="B255" s="696" t="s">
        <v>5662</v>
      </c>
      <c r="C255" s="566">
        <f t="shared" si="3"/>
        <v>949</v>
      </c>
      <c r="D255" s="700" t="s">
        <v>2219</v>
      </c>
      <c r="E255" s="701" t="s">
        <v>8136</v>
      </c>
      <c r="F255" s="566">
        <v>1</v>
      </c>
      <c r="G255" s="662">
        <v>0</v>
      </c>
      <c r="H255" s="662">
        <v>0</v>
      </c>
      <c r="I255" s="662">
        <v>28954.0765795732</v>
      </c>
      <c r="J255" s="662">
        <v>29909.233319002644</v>
      </c>
      <c r="K255" s="566" t="s">
        <v>3910</v>
      </c>
      <c r="L255" s="549"/>
      <c r="M255" s="681"/>
      <c r="O255" s="708"/>
      <c r="S255" s="654"/>
      <c r="T255" s="547"/>
      <c r="U255" s="547"/>
      <c r="V255" s="547"/>
      <c r="W255" s="549"/>
    </row>
    <row r="256" spans="1:23">
      <c r="A256" s="565">
        <v>950</v>
      </c>
      <c r="B256" s="696" t="s">
        <v>5663</v>
      </c>
      <c r="C256" s="566">
        <f t="shared" si="3"/>
        <v>950</v>
      </c>
      <c r="D256" s="700" t="s">
        <v>2219</v>
      </c>
      <c r="E256" s="701" t="s">
        <v>8137</v>
      </c>
      <c r="F256" s="566">
        <v>1</v>
      </c>
      <c r="G256" s="662">
        <v>0</v>
      </c>
      <c r="H256" s="662">
        <v>0</v>
      </c>
      <c r="I256" s="662">
        <v>29855.627125709245</v>
      </c>
      <c r="J256" s="662">
        <v>30843.09338483465</v>
      </c>
      <c r="K256" s="566" t="s">
        <v>3911</v>
      </c>
      <c r="L256" s="549"/>
      <c r="M256" s="681"/>
      <c r="O256" s="708"/>
      <c r="S256" s="654"/>
      <c r="T256" s="547"/>
      <c r="U256" s="547"/>
      <c r="V256" s="547"/>
      <c r="W256" s="549"/>
    </row>
    <row r="257" spans="1:23">
      <c r="A257" s="565">
        <v>951</v>
      </c>
      <c r="B257" s="696" t="s">
        <v>5664</v>
      </c>
      <c r="C257" s="566">
        <f t="shared" si="3"/>
        <v>951</v>
      </c>
      <c r="D257" s="700" t="s">
        <v>2219</v>
      </c>
      <c r="E257" s="701" t="s">
        <v>8138</v>
      </c>
      <c r="F257" s="566">
        <v>1</v>
      </c>
      <c r="G257" s="662">
        <v>0</v>
      </c>
      <c r="H257" s="662">
        <v>0</v>
      </c>
      <c r="I257" s="662">
        <v>54878.430202951415</v>
      </c>
      <c r="J257" s="662">
        <v>57213.202120713991</v>
      </c>
      <c r="K257" s="566" t="s">
        <v>3912</v>
      </c>
      <c r="L257" s="549"/>
      <c r="M257" s="681"/>
      <c r="O257" s="708"/>
      <c r="S257" s="654"/>
      <c r="T257" s="547"/>
      <c r="U257" s="547"/>
      <c r="V257" s="547"/>
      <c r="W257" s="549"/>
    </row>
    <row r="258" spans="1:23">
      <c r="A258" s="565">
        <v>952</v>
      </c>
      <c r="B258" s="696" t="s">
        <v>5665</v>
      </c>
      <c r="C258" s="566">
        <f t="shared" si="3"/>
        <v>952</v>
      </c>
      <c r="D258" s="700" t="s">
        <v>2219</v>
      </c>
      <c r="E258" s="701" t="s">
        <v>8139</v>
      </c>
      <c r="F258" s="566">
        <v>1</v>
      </c>
      <c r="G258" s="662">
        <v>0</v>
      </c>
      <c r="H258" s="662">
        <v>0</v>
      </c>
      <c r="I258" s="662">
        <v>24847.623787112032</v>
      </c>
      <c r="J258" s="662">
        <v>25655.711828478052</v>
      </c>
      <c r="K258" s="566" t="s">
        <v>3913</v>
      </c>
      <c r="L258" s="549"/>
      <c r="M258" s="681"/>
      <c r="O258" s="708"/>
      <c r="S258" s="654"/>
      <c r="T258" s="547"/>
      <c r="U258" s="547"/>
      <c r="V258" s="547"/>
      <c r="W258" s="549"/>
    </row>
    <row r="259" spans="1:23">
      <c r="A259" s="565">
        <v>953</v>
      </c>
      <c r="B259" s="696" t="s">
        <v>5666</v>
      </c>
      <c r="C259" s="566">
        <f t="shared" si="3"/>
        <v>953</v>
      </c>
      <c r="D259" s="700" t="s">
        <v>2219</v>
      </c>
      <c r="E259" s="701" t="s">
        <v>7896</v>
      </c>
      <c r="F259" s="566">
        <v>1</v>
      </c>
      <c r="G259" s="662">
        <v>0</v>
      </c>
      <c r="H259" s="662">
        <v>0</v>
      </c>
      <c r="I259" s="662">
        <v>28801.307219029306</v>
      </c>
      <c r="J259" s="662">
        <v>29767.249842268415</v>
      </c>
      <c r="K259" s="566" t="s">
        <v>3914</v>
      </c>
      <c r="L259" s="549"/>
      <c r="M259" s="681"/>
      <c r="O259" s="708"/>
      <c r="S259" s="654"/>
      <c r="T259" s="547"/>
      <c r="U259" s="547"/>
      <c r="V259" s="547"/>
      <c r="W259" s="549"/>
    </row>
    <row r="260" spans="1:23">
      <c r="A260" s="565">
        <v>954</v>
      </c>
      <c r="B260" s="696" t="s">
        <v>5667</v>
      </c>
      <c r="C260" s="566">
        <f t="shared" si="3"/>
        <v>954</v>
      </c>
      <c r="D260" s="700" t="s">
        <v>2219</v>
      </c>
      <c r="E260" s="701" t="s">
        <v>8140</v>
      </c>
      <c r="F260" s="566">
        <v>1</v>
      </c>
      <c r="G260" s="662">
        <v>0</v>
      </c>
      <c r="H260" s="662">
        <v>0</v>
      </c>
      <c r="I260" s="662">
        <v>31873.121335660057</v>
      </c>
      <c r="J260" s="662">
        <v>32932.822387025488</v>
      </c>
      <c r="K260" s="566" t="s">
        <v>3915</v>
      </c>
      <c r="L260" s="549"/>
      <c r="M260" s="681"/>
      <c r="O260" s="708"/>
      <c r="S260" s="654"/>
      <c r="T260" s="547"/>
      <c r="U260" s="547"/>
      <c r="V260" s="547"/>
      <c r="W260" s="549"/>
    </row>
    <row r="261" spans="1:23">
      <c r="A261" s="565">
        <v>955</v>
      </c>
      <c r="B261" s="696" t="s">
        <v>5668</v>
      </c>
      <c r="C261" s="566">
        <f t="shared" si="3"/>
        <v>955</v>
      </c>
      <c r="D261" s="700" t="s">
        <v>2219</v>
      </c>
      <c r="E261" s="701" t="s">
        <v>8141</v>
      </c>
      <c r="F261" s="566">
        <v>1</v>
      </c>
      <c r="G261" s="662">
        <v>0</v>
      </c>
      <c r="H261" s="662">
        <v>0</v>
      </c>
      <c r="I261" s="662">
        <v>30053.52846510497</v>
      </c>
      <c r="J261" s="662">
        <v>31048.083215821291</v>
      </c>
      <c r="K261" s="566" t="s">
        <v>3916</v>
      </c>
      <c r="L261" s="549"/>
      <c r="M261" s="681"/>
      <c r="O261" s="708"/>
      <c r="S261" s="654"/>
      <c r="T261" s="547"/>
      <c r="U261" s="547"/>
      <c r="V261" s="547"/>
      <c r="W261" s="549"/>
    </row>
    <row r="262" spans="1:23">
      <c r="A262" s="565">
        <v>956</v>
      </c>
      <c r="B262" s="696" t="s">
        <v>5669</v>
      </c>
      <c r="C262" s="566">
        <f t="shared" si="3"/>
        <v>956</v>
      </c>
      <c r="D262" s="700" t="s">
        <v>2219</v>
      </c>
      <c r="E262" s="701" t="s">
        <v>8142</v>
      </c>
      <c r="F262" s="566">
        <v>1</v>
      </c>
      <c r="G262" s="662">
        <v>0</v>
      </c>
      <c r="H262" s="662">
        <v>0</v>
      </c>
      <c r="I262" s="662">
        <v>27656.723354645714</v>
      </c>
      <c r="J262" s="662">
        <v>28565.428596094102</v>
      </c>
      <c r="K262" s="566" t="s">
        <v>3917</v>
      </c>
      <c r="L262" s="549"/>
      <c r="M262" s="681"/>
      <c r="O262" s="708"/>
      <c r="S262" s="654"/>
      <c r="T262" s="547"/>
      <c r="U262" s="547"/>
      <c r="V262" s="547"/>
      <c r="W262" s="549"/>
    </row>
    <row r="263" spans="1:23">
      <c r="A263" s="565">
        <v>957</v>
      </c>
      <c r="B263" s="696" t="s">
        <v>5670</v>
      </c>
      <c r="C263" s="566">
        <f t="shared" si="3"/>
        <v>957</v>
      </c>
      <c r="D263" s="700" t="s">
        <v>2219</v>
      </c>
      <c r="E263" s="701" t="s">
        <v>8143</v>
      </c>
      <c r="F263" s="566">
        <v>1</v>
      </c>
      <c r="G263" s="662">
        <v>0</v>
      </c>
      <c r="H263" s="662">
        <v>0</v>
      </c>
      <c r="I263" s="662">
        <v>31990.45867919442</v>
      </c>
      <c r="J263" s="662">
        <v>33072.584742537336</v>
      </c>
      <c r="K263" s="566" t="s">
        <v>3918</v>
      </c>
      <c r="L263" s="549"/>
      <c r="M263" s="681"/>
      <c r="O263" s="708"/>
      <c r="S263" s="654"/>
      <c r="T263" s="547"/>
      <c r="U263" s="547"/>
      <c r="V263" s="547"/>
      <c r="W263" s="549"/>
    </row>
    <row r="264" spans="1:23">
      <c r="A264" s="565">
        <v>958</v>
      </c>
      <c r="B264" s="696" t="s">
        <v>5671</v>
      </c>
      <c r="C264" s="566">
        <f t="shared" si="3"/>
        <v>958</v>
      </c>
      <c r="D264" s="700" t="s">
        <v>2219</v>
      </c>
      <c r="E264" s="701" t="s">
        <v>8144</v>
      </c>
      <c r="F264" s="566">
        <v>1</v>
      </c>
      <c r="G264" s="662">
        <v>34648.473635978931</v>
      </c>
      <c r="H264" s="662">
        <v>35508.307505229757</v>
      </c>
      <c r="I264" s="662">
        <v>0</v>
      </c>
      <c r="J264" s="662">
        <v>0</v>
      </c>
      <c r="K264" s="566" t="s">
        <v>959</v>
      </c>
      <c r="L264" s="549"/>
      <c r="M264" s="681"/>
      <c r="O264" s="708"/>
      <c r="S264" s="654"/>
      <c r="T264" s="547"/>
      <c r="U264" s="547"/>
      <c r="V264" s="547"/>
      <c r="W264" s="549"/>
    </row>
    <row r="265" spans="1:23">
      <c r="A265" s="565">
        <v>959</v>
      </c>
      <c r="B265" s="696" t="s">
        <v>5672</v>
      </c>
      <c r="C265" s="566">
        <f t="shared" ref="C265:C328" si="4">A265</f>
        <v>959</v>
      </c>
      <c r="D265" s="700" t="s">
        <v>2219</v>
      </c>
      <c r="E265" s="701" t="s">
        <v>8145</v>
      </c>
      <c r="F265" s="566">
        <v>1</v>
      </c>
      <c r="G265" s="662">
        <v>23670.918557075351</v>
      </c>
      <c r="H265" s="662">
        <v>24210.228894836771</v>
      </c>
      <c r="I265" s="662">
        <v>0</v>
      </c>
      <c r="J265" s="662">
        <v>0</v>
      </c>
      <c r="K265" s="566" t="s">
        <v>960</v>
      </c>
      <c r="L265" s="549"/>
      <c r="M265" s="681"/>
      <c r="O265" s="708"/>
      <c r="S265" s="654"/>
      <c r="T265" s="547"/>
      <c r="U265" s="547"/>
      <c r="V265" s="547"/>
      <c r="W265" s="549"/>
    </row>
    <row r="266" spans="1:23">
      <c r="A266" s="565">
        <v>960</v>
      </c>
      <c r="B266" s="696" t="s">
        <v>5673</v>
      </c>
      <c r="C266" s="566">
        <f t="shared" si="4"/>
        <v>960</v>
      </c>
      <c r="D266" s="700" t="s">
        <v>2219</v>
      </c>
      <c r="E266" s="701" t="s">
        <v>8146</v>
      </c>
      <c r="F266" s="566">
        <v>1</v>
      </c>
      <c r="G266" s="662">
        <v>0</v>
      </c>
      <c r="H266" s="662">
        <v>0</v>
      </c>
      <c r="I266" s="662">
        <v>42088.814851145391</v>
      </c>
      <c r="J266" s="662">
        <v>43064.396060103543</v>
      </c>
      <c r="K266" s="566" t="s">
        <v>3919</v>
      </c>
      <c r="L266" s="549"/>
      <c r="M266" s="681"/>
      <c r="O266" s="708"/>
      <c r="S266" s="654"/>
      <c r="T266" s="547"/>
      <c r="U266" s="547"/>
      <c r="V266" s="547"/>
      <c r="W266" s="549"/>
    </row>
    <row r="267" spans="1:23">
      <c r="A267" s="565">
        <v>961</v>
      </c>
      <c r="B267" s="696" t="s">
        <v>5674</v>
      </c>
      <c r="C267" s="566">
        <f t="shared" si="4"/>
        <v>961</v>
      </c>
      <c r="D267" s="700" t="s">
        <v>2219</v>
      </c>
      <c r="E267" s="701" t="s">
        <v>8147</v>
      </c>
      <c r="F267" s="566">
        <v>1</v>
      </c>
      <c r="G267" s="662">
        <v>0</v>
      </c>
      <c r="H267" s="662">
        <v>0</v>
      </c>
      <c r="I267" s="662">
        <v>41514.040391857576</v>
      </c>
      <c r="J267" s="662">
        <v>42475.537246249522</v>
      </c>
      <c r="K267" s="566" t="s">
        <v>3920</v>
      </c>
      <c r="L267" s="549"/>
      <c r="M267" s="681"/>
      <c r="O267" s="708"/>
      <c r="S267" s="654"/>
      <c r="T267" s="547"/>
      <c r="U267" s="547"/>
      <c r="V267" s="547"/>
      <c r="W267" s="549"/>
    </row>
    <row r="268" spans="1:23">
      <c r="A268" s="565">
        <v>962</v>
      </c>
      <c r="B268" s="696" t="s">
        <v>5675</v>
      </c>
      <c r="C268" s="566">
        <f t="shared" si="4"/>
        <v>962</v>
      </c>
      <c r="D268" s="700" t="s">
        <v>2219</v>
      </c>
      <c r="E268" s="701" t="s">
        <v>8148</v>
      </c>
      <c r="F268" s="566">
        <v>1</v>
      </c>
      <c r="G268" s="662">
        <v>41877.908578038667</v>
      </c>
      <c r="H268" s="662">
        <v>42795.358026876223</v>
      </c>
      <c r="I268" s="662">
        <v>43760.88600543722</v>
      </c>
      <c r="J268" s="662">
        <v>44777.442116772108</v>
      </c>
      <c r="K268" s="566" t="s">
        <v>3921</v>
      </c>
      <c r="L268" s="549"/>
      <c r="M268" s="681"/>
      <c r="O268" s="708"/>
      <c r="S268" s="654"/>
      <c r="T268" s="547"/>
      <c r="U268" s="547"/>
      <c r="V268" s="547"/>
      <c r="W268" s="549"/>
    </row>
    <row r="269" spans="1:23">
      <c r="A269" s="565">
        <v>963</v>
      </c>
      <c r="B269" s="696" t="s">
        <v>5676</v>
      </c>
      <c r="C269" s="566">
        <f t="shared" si="4"/>
        <v>963</v>
      </c>
      <c r="D269" s="700" t="s">
        <v>2219</v>
      </c>
      <c r="E269" s="701" t="s">
        <v>8149</v>
      </c>
      <c r="F269" s="566">
        <v>1</v>
      </c>
      <c r="G269" s="662">
        <v>29315.453080608699</v>
      </c>
      <c r="H269" s="662">
        <v>30051.79690214459</v>
      </c>
      <c r="I269" s="662">
        <v>30826.952583820181</v>
      </c>
      <c r="J269" s="662">
        <v>31642.861947643742</v>
      </c>
      <c r="K269" s="566" t="s">
        <v>961</v>
      </c>
      <c r="L269" s="549"/>
      <c r="M269" s="681"/>
      <c r="O269" s="708"/>
      <c r="S269" s="654"/>
      <c r="T269" s="547"/>
      <c r="U269" s="547"/>
      <c r="V269" s="547"/>
      <c r="W269" s="549"/>
    </row>
    <row r="270" spans="1:23">
      <c r="A270" s="565">
        <v>964</v>
      </c>
      <c r="B270" s="696" t="s">
        <v>5677</v>
      </c>
      <c r="C270" s="566">
        <f t="shared" si="4"/>
        <v>964</v>
      </c>
      <c r="D270" s="700" t="s">
        <v>2219</v>
      </c>
      <c r="E270" s="701" t="s">
        <v>8150</v>
      </c>
      <c r="F270" s="566">
        <v>1</v>
      </c>
      <c r="G270" s="662">
        <v>0</v>
      </c>
      <c r="H270" s="662">
        <v>0</v>
      </c>
      <c r="I270" s="662">
        <v>35733.044383979315</v>
      </c>
      <c r="J270" s="662">
        <v>36552.83739181939</v>
      </c>
      <c r="K270" s="566" t="s">
        <v>3922</v>
      </c>
      <c r="L270" s="549"/>
      <c r="M270" s="681"/>
      <c r="O270" s="708"/>
      <c r="S270" s="654"/>
      <c r="T270" s="547"/>
      <c r="U270" s="547"/>
      <c r="V270" s="547"/>
      <c r="W270" s="549"/>
    </row>
    <row r="271" spans="1:23">
      <c r="A271" s="565">
        <v>965</v>
      </c>
      <c r="B271" s="696" t="s">
        <v>5678</v>
      </c>
      <c r="C271" s="566">
        <f t="shared" si="4"/>
        <v>965</v>
      </c>
      <c r="D271" s="700" t="s">
        <v>2219</v>
      </c>
      <c r="E271" s="701" t="s">
        <v>8151</v>
      </c>
      <c r="F271" s="566">
        <v>1</v>
      </c>
      <c r="G271" s="662">
        <v>0</v>
      </c>
      <c r="H271" s="662">
        <v>0</v>
      </c>
      <c r="I271" s="662">
        <v>38108.145455416576</v>
      </c>
      <c r="J271" s="662">
        <v>38986.168543478903</v>
      </c>
      <c r="K271" s="566" t="s">
        <v>3923</v>
      </c>
      <c r="L271" s="549"/>
      <c r="M271" s="681"/>
      <c r="O271" s="708"/>
      <c r="S271" s="654"/>
      <c r="T271" s="547"/>
      <c r="U271" s="547"/>
      <c r="V271" s="547"/>
      <c r="W271" s="549"/>
    </row>
    <row r="272" spans="1:23">
      <c r="A272" s="565">
        <v>966</v>
      </c>
      <c r="B272" s="696" t="s">
        <v>5679</v>
      </c>
      <c r="C272" s="566">
        <f t="shared" si="4"/>
        <v>966</v>
      </c>
      <c r="D272" s="700" t="s">
        <v>2219</v>
      </c>
      <c r="E272" s="701" t="s">
        <v>8152</v>
      </c>
      <c r="F272" s="566">
        <v>1</v>
      </c>
      <c r="G272" s="662">
        <v>24652.711074416984</v>
      </c>
      <c r="H272" s="662">
        <v>25216.773497777314</v>
      </c>
      <c r="I272" s="662">
        <v>0</v>
      </c>
      <c r="J272" s="662">
        <v>0</v>
      </c>
      <c r="K272" s="566" t="s">
        <v>962</v>
      </c>
      <c r="L272" s="549"/>
      <c r="M272" s="681"/>
      <c r="O272" s="708"/>
      <c r="S272" s="654"/>
      <c r="T272" s="547"/>
      <c r="U272" s="547"/>
      <c r="V272" s="547"/>
      <c r="W272" s="549"/>
    </row>
    <row r="273" spans="1:23">
      <c r="A273" s="565">
        <v>967</v>
      </c>
      <c r="B273" s="696" t="s">
        <v>5680</v>
      </c>
      <c r="C273" s="566">
        <f t="shared" si="4"/>
        <v>967</v>
      </c>
      <c r="D273" s="700" t="s">
        <v>2219</v>
      </c>
      <c r="E273" s="701" t="s">
        <v>8153</v>
      </c>
      <c r="F273" s="566">
        <v>1</v>
      </c>
      <c r="G273" s="662">
        <v>27762.68635930743</v>
      </c>
      <c r="H273" s="662">
        <v>28422.365081555319</v>
      </c>
      <c r="I273" s="662">
        <v>0</v>
      </c>
      <c r="J273" s="662">
        <v>0</v>
      </c>
      <c r="K273" s="566" t="s">
        <v>963</v>
      </c>
      <c r="L273" s="549"/>
      <c r="M273" s="681"/>
      <c r="O273" s="708"/>
      <c r="S273" s="654"/>
      <c r="T273" s="547"/>
      <c r="U273" s="547"/>
      <c r="V273" s="547"/>
      <c r="W273" s="549"/>
    </row>
    <row r="274" spans="1:23">
      <c r="A274" s="565">
        <v>968</v>
      </c>
      <c r="B274" s="696" t="s">
        <v>5681</v>
      </c>
      <c r="C274" s="566">
        <f t="shared" si="4"/>
        <v>968</v>
      </c>
      <c r="D274" s="700" t="s">
        <v>2219</v>
      </c>
      <c r="E274" s="701" t="s">
        <v>8154</v>
      </c>
      <c r="F274" s="566">
        <v>1</v>
      </c>
      <c r="G274" s="662">
        <v>26635.188538333477</v>
      </c>
      <c r="H274" s="662">
        <v>27265.666190381267</v>
      </c>
      <c r="I274" s="662">
        <v>0</v>
      </c>
      <c r="J274" s="662">
        <v>0</v>
      </c>
      <c r="K274" s="566" t="s">
        <v>964</v>
      </c>
      <c r="L274" s="549"/>
      <c r="M274" s="681"/>
      <c r="O274" s="708"/>
      <c r="S274" s="654"/>
      <c r="T274" s="547"/>
      <c r="U274" s="547"/>
      <c r="V274" s="547"/>
      <c r="W274" s="549"/>
    </row>
    <row r="275" spans="1:23">
      <c r="A275" s="565">
        <v>969</v>
      </c>
      <c r="B275" s="696" t="s">
        <v>5682</v>
      </c>
      <c r="C275" s="566">
        <f t="shared" si="4"/>
        <v>969</v>
      </c>
      <c r="D275" s="700" t="s">
        <v>2219</v>
      </c>
      <c r="E275" s="701" t="s">
        <v>8155</v>
      </c>
      <c r="F275" s="566">
        <v>1</v>
      </c>
      <c r="G275" s="662">
        <v>25621.899332156871</v>
      </c>
      <c r="H275" s="662">
        <v>26226.150097080492</v>
      </c>
      <c r="I275" s="662">
        <v>0</v>
      </c>
      <c r="J275" s="662">
        <v>0</v>
      </c>
      <c r="K275" s="566" t="s">
        <v>965</v>
      </c>
      <c r="L275" s="549"/>
      <c r="M275" s="681"/>
      <c r="O275" s="708"/>
      <c r="S275" s="654"/>
      <c r="T275" s="547"/>
      <c r="U275" s="547"/>
      <c r="V275" s="547"/>
      <c r="W275" s="549"/>
    </row>
    <row r="276" spans="1:23">
      <c r="A276" s="565">
        <v>970</v>
      </c>
      <c r="B276" s="696" t="s">
        <v>5683</v>
      </c>
      <c r="C276" s="566">
        <f t="shared" si="4"/>
        <v>970</v>
      </c>
      <c r="D276" s="700" t="s">
        <v>2219</v>
      </c>
      <c r="E276" s="701" t="s">
        <v>8156</v>
      </c>
      <c r="F276" s="566">
        <v>1</v>
      </c>
      <c r="G276" s="662">
        <v>24657.734056758876</v>
      </c>
      <c r="H276" s="662">
        <v>25221.919380246316</v>
      </c>
      <c r="I276" s="662">
        <v>0</v>
      </c>
      <c r="J276" s="662">
        <v>0</v>
      </c>
      <c r="K276" s="566" t="s">
        <v>966</v>
      </c>
      <c r="L276" s="549"/>
      <c r="M276" s="681"/>
      <c r="O276" s="708"/>
      <c r="S276" s="654"/>
      <c r="T276" s="547"/>
      <c r="U276" s="547"/>
      <c r="V276" s="547"/>
      <c r="W276" s="549"/>
    </row>
    <row r="277" spans="1:23">
      <c r="A277" s="565">
        <v>971</v>
      </c>
      <c r="B277" s="696" t="s">
        <v>5684</v>
      </c>
      <c r="C277" s="566">
        <f t="shared" si="4"/>
        <v>971</v>
      </c>
      <c r="D277" s="700" t="s">
        <v>2219</v>
      </c>
      <c r="E277" s="701" t="s">
        <v>8157</v>
      </c>
      <c r="F277" s="566">
        <v>1</v>
      </c>
      <c r="G277" s="662">
        <v>0</v>
      </c>
      <c r="H277" s="662">
        <v>0</v>
      </c>
      <c r="I277" s="662">
        <v>43038.855279720294</v>
      </c>
      <c r="J277" s="662">
        <v>44037.713772752097</v>
      </c>
      <c r="K277" s="566" t="s">
        <v>3924</v>
      </c>
      <c r="L277" s="549"/>
      <c r="M277" s="681"/>
      <c r="O277" s="708"/>
      <c r="S277" s="654"/>
      <c r="T277" s="547"/>
      <c r="U277" s="547"/>
      <c r="V277" s="547"/>
      <c r="W277" s="549"/>
    </row>
    <row r="278" spans="1:23">
      <c r="A278" s="565">
        <v>972</v>
      </c>
      <c r="B278" s="696" t="s">
        <v>5685</v>
      </c>
      <c r="C278" s="566">
        <f t="shared" si="4"/>
        <v>972</v>
      </c>
      <c r="D278" s="700" t="s">
        <v>2219</v>
      </c>
      <c r="E278" s="701" t="s">
        <v>8158</v>
      </c>
      <c r="F278" s="566">
        <v>1</v>
      </c>
      <c r="G278" s="662">
        <v>0</v>
      </c>
      <c r="H278" s="662">
        <v>0</v>
      </c>
      <c r="I278" s="662">
        <v>42464.080820432479</v>
      </c>
      <c r="J278" s="662">
        <v>43448.854958898075</v>
      </c>
      <c r="K278" s="566" t="s">
        <v>3925</v>
      </c>
      <c r="L278" s="549"/>
      <c r="M278" s="681"/>
      <c r="O278" s="708"/>
      <c r="S278" s="654"/>
      <c r="T278" s="547"/>
      <c r="U278" s="547"/>
      <c r="V278" s="547"/>
      <c r="W278" s="549"/>
    </row>
    <row r="279" spans="1:23">
      <c r="A279" s="565">
        <v>973</v>
      </c>
      <c r="B279" s="696" t="s">
        <v>5686</v>
      </c>
      <c r="C279" s="566">
        <f t="shared" si="4"/>
        <v>973</v>
      </c>
      <c r="D279" s="700" t="s">
        <v>2219</v>
      </c>
      <c r="E279" s="701" t="s">
        <v>8159</v>
      </c>
      <c r="F279" s="566">
        <v>1</v>
      </c>
      <c r="G279" s="662">
        <v>42784.589841770976</v>
      </c>
      <c r="H279" s="662">
        <v>43723.055212343475</v>
      </c>
      <c r="I279" s="662">
        <v>44710.926434012115</v>
      </c>
      <c r="J279" s="662">
        <v>45750.784409446103</v>
      </c>
      <c r="K279" s="566" t="s">
        <v>3926</v>
      </c>
      <c r="L279" s="549"/>
      <c r="M279" s="681"/>
      <c r="O279" s="708"/>
      <c r="S279" s="654"/>
      <c r="T279" s="547"/>
      <c r="U279" s="547"/>
      <c r="V279" s="547"/>
      <c r="W279" s="549"/>
    </row>
    <row r="280" spans="1:23">
      <c r="A280" s="565">
        <v>974</v>
      </c>
      <c r="B280" s="696" t="s">
        <v>5687</v>
      </c>
      <c r="C280" s="566">
        <f t="shared" si="4"/>
        <v>974</v>
      </c>
      <c r="D280" s="700" t="s">
        <v>2219</v>
      </c>
      <c r="E280" s="701" t="s">
        <v>8160</v>
      </c>
      <c r="F280" s="566">
        <v>1</v>
      </c>
      <c r="G280" s="662">
        <v>30183.595081427746</v>
      </c>
      <c r="H280" s="662">
        <v>30943.609467444017</v>
      </c>
      <c r="I280" s="662">
        <v>31743.615554820219</v>
      </c>
      <c r="J280" s="662">
        <v>32585.727225742525</v>
      </c>
      <c r="K280" s="566" t="s">
        <v>967</v>
      </c>
      <c r="L280" s="549"/>
      <c r="M280" s="681"/>
      <c r="O280" s="708"/>
      <c r="S280" s="654"/>
      <c r="T280" s="547"/>
      <c r="U280" s="547"/>
      <c r="V280" s="547"/>
      <c r="W280" s="549"/>
    </row>
    <row r="281" spans="1:23">
      <c r="A281" s="565">
        <v>975</v>
      </c>
      <c r="B281" s="696" t="s">
        <v>5688</v>
      </c>
      <c r="C281" s="566">
        <f t="shared" si="4"/>
        <v>975</v>
      </c>
      <c r="D281" s="700" t="s">
        <v>2219</v>
      </c>
      <c r="E281" s="701" t="s">
        <v>8161</v>
      </c>
      <c r="F281" s="566">
        <v>1</v>
      </c>
      <c r="G281" s="662">
        <v>0</v>
      </c>
      <c r="H281" s="662">
        <v>0</v>
      </c>
      <c r="I281" s="662">
        <v>36683.084812554211</v>
      </c>
      <c r="J281" s="662">
        <v>37526.155104467944</v>
      </c>
      <c r="K281" s="566" t="s">
        <v>3927</v>
      </c>
      <c r="L281" s="549"/>
      <c r="M281" s="681"/>
      <c r="O281" s="708"/>
      <c r="S281" s="654"/>
      <c r="T281" s="547"/>
      <c r="U281" s="547"/>
      <c r="V281" s="547"/>
      <c r="W281" s="549"/>
    </row>
    <row r="282" spans="1:23">
      <c r="A282" s="565">
        <v>976</v>
      </c>
      <c r="B282" s="696" t="s">
        <v>5689</v>
      </c>
      <c r="C282" s="566">
        <f t="shared" si="4"/>
        <v>976</v>
      </c>
      <c r="D282" s="700" t="s">
        <v>2219</v>
      </c>
      <c r="E282" s="701" t="s">
        <v>8162</v>
      </c>
      <c r="F282" s="566">
        <v>1</v>
      </c>
      <c r="G282" s="662">
        <v>0</v>
      </c>
      <c r="H282" s="662">
        <v>0</v>
      </c>
      <c r="I282" s="662">
        <v>39058.185883991457</v>
      </c>
      <c r="J282" s="662">
        <v>39959.486256127464</v>
      </c>
      <c r="K282" s="566" t="s">
        <v>3928</v>
      </c>
      <c r="L282" s="549"/>
      <c r="M282" s="681"/>
      <c r="O282" s="708"/>
      <c r="S282" s="654"/>
      <c r="T282" s="547"/>
      <c r="U282" s="547"/>
      <c r="V282" s="547"/>
      <c r="W282" s="549"/>
    </row>
    <row r="283" spans="1:23">
      <c r="A283" s="565">
        <v>977</v>
      </c>
      <c r="B283" s="696" t="s">
        <v>5690</v>
      </c>
      <c r="C283" s="566">
        <f t="shared" si="4"/>
        <v>977</v>
      </c>
      <c r="D283" s="700" t="s">
        <v>2219</v>
      </c>
      <c r="E283" s="701" t="s">
        <v>8163</v>
      </c>
      <c r="F283" s="566">
        <v>1</v>
      </c>
      <c r="G283" s="662">
        <v>26928.544712161449</v>
      </c>
      <c r="H283" s="662">
        <v>27566.101411530472</v>
      </c>
      <c r="I283" s="662">
        <v>0</v>
      </c>
      <c r="J283" s="662">
        <v>0</v>
      </c>
      <c r="K283" s="566" t="s">
        <v>968</v>
      </c>
      <c r="L283" s="549"/>
      <c r="M283" s="681"/>
      <c r="O283" s="708"/>
      <c r="S283" s="654"/>
      <c r="T283" s="547"/>
      <c r="U283" s="547"/>
      <c r="V283" s="547"/>
      <c r="W283" s="549"/>
    </row>
    <row r="284" spans="1:23">
      <c r="A284" s="565">
        <v>978</v>
      </c>
      <c r="B284" s="696" t="s">
        <v>5691</v>
      </c>
      <c r="C284" s="566">
        <f t="shared" si="4"/>
        <v>978</v>
      </c>
      <c r="D284" s="700" t="s">
        <v>2219</v>
      </c>
      <c r="E284" s="701" t="s">
        <v>8164</v>
      </c>
      <c r="F284" s="566">
        <v>1</v>
      </c>
      <c r="G284" s="662">
        <v>25444.106542513171</v>
      </c>
      <c r="H284" s="662">
        <v>26043.24466214922</v>
      </c>
      <c r="I284" s="662">
        <v>0</v>
      </c>
      <c r="J284" s="662">
        <v>0</v>
      </c>
      <c r="K284" s="566" t="s">
        <v>969</v>
      </c>
      <c r="L284" s="549"/>
      <c r="M284" s="681"/>
      <c r="O284" s="708"/>
      <c r="S284" s="654"/>
      <c r="T284" s="547"/>
      <c r="U284" s="547"/>
      <c r="V284" s="547"/>
      <c r="W284" s="549"/>
    </row>
    <row r="285" spans="1:23">
      <c r="A285" s="565">
        <v>979</v>
      </c>
      <c r="B285" s="696" t="s">
        <v>5692</v>
      </c>
      <c r="C285" s="566">
        <f t="shared" si="4"/>
        <v>979</v>
      </c>
      <c r="D285" s="700" t="s">
        <v>2219</v>
      </c>
      <c r="E285" s="701" t="s">
        <v>8165</v>
      </c>
      <c r="F285" s="566">
        <v>1</v>
      </c>
      <c r="G285" s="662">
        <v>27522.319980020762</v>
      </c>
      <c r="H285" s="662">
        <v>28175.239195277878</v>
      </c>
      <c r="I285" s="662">
        <v>0</v>
      </c>
      <c r="J285" s="662">
        <v>0</v>
      </c>
      <c r="K285" s="566" t="s">
        <v>970</v>
      </c>
      <c r="L285" s="549"/>
      <c r="M285" s="681"/>
      <c r="O285" s="708"/>
      <c r="S285" s="654"/>
      <c r="T285" s="547"/>
      <c r="U285" s="547"/>
      <c r="V285" s="547"/>
      <c r="W285" s="549"/>
    </row>
    <row r="286" spans="1:23">
      <c r="A286" s="565">
        <v>980</v>
      </c>
      <c r="B286" s="696" t="s">
        <v>5693</v>
      </c>
      <c r="C286" s="566">
        <f t="shared" si="4"/>
        <v>980</v>
      </c>
      <c r="D286" s="700" t="s">
        <v>2219</v>
      </c>
      <c r="E286" s="701" t="s">
        <v>8166</v>
      </c>
      <c r="F286" s="566">
        <v>1</v>
      </c>
      <c r="G286" s="662">
        <v>29006.758149669033</v>
      </c>
      <c r="H286" s="662">
        <v>29698.07136463371</v>
      </c>
      <c r="I286" s="662">
        <v>0</v>
      </c>
      <c r="J286" s="662">
        <v>0</v>
      </c>
      <c r="K286" s="566" t="s">
        <v>971</v>
      </c>
      <c r="L286" s="549"/>
      <c r="M286" s="681"/>
      <c r="O286" s="708"/>
      <c r="S286" s="654"/>
      <c r="T286" s="547"/>
      <c r="U286" s="547"/>
      <c r="V286" s="547"/>
      <c r="W286" s="549"/>
    </row>
    <row r="287" spans="1:23">
      <c r="A287" s="565">
        <v>981</v>
      </c>
      <c r="B287" s="696" t="s">
        <v>5694</v>
      </c>
      <c r="C287" s="566">
        <f t="shared" si="4"/>
        <v>981</v>
      </c>
      <c r="D287" s="700" t="s">
        <v>2219</v>
      </c>
      <c r="E287" s="701" t="s">
        <v>8167</v>
      </c>
      <c r="F287" s="566">
        <v>1</v>
      </c>
      <c r="G287" s="662">
        <v>36038.85211828287</v>
      </c>
      <c r="H287" s="662">
        <v>36890.082978636354</v>
      </c>
      <c r="I287" s="662">
        <v>0</v>
      </c>
      <c r="J287" s="662">
        <v>0</v>
      </c>
      <c r="K287" s="566" t="s">
        <v>972</v>
      </c>
      <c r="L287" s="549"/>
      <c r="M287" s="681"/>
      <c r="O287" s="708"/>
      <c r="S287" s="654"/>
      <c r="T287" s="547"/>
      <c r="U287" s="547"/>
      <c r="V287" s="547"/>
      <c r="W287" s="549"/>
    </row>
    <row r="288" spans="1:23">
      <c r="A288" s="565">
        <v>982</v>
      </c>
      <c r="B288" s="696" t="s">
        <v>5695</v>
      </c>
      <c r="C288" s="566">
        <f t="shared" si="4"/>
        <v>982</v>
      </c>
      <c r="D288" s="700" t="s">
        <v>2219</v>
      </c>
      <c r="E288" s="701" t="s">
        <v>8168</v>
      </c>
      <c r="F288" s="566">
        <v>1</v>
      </c>
      <c r="G288" s="662">
        <v>25602.966017062954</v>
      </c>
      <c r="H288" s="662">
        <v>26190.993965208727</v>
      </c>
      <c r="I288" s="662">
        <v>0</v>
      </c>
      <c r="J288" s="662">
        <v>0</v>
      </c>
      <c r="K288" s="566" t="s">
        <v>973</v>
      </c>
      <c r="L288" s="549"/>
      <c r="M288" s="681"/>
      <c r="O288" s="708"/>
      <c r="S288" s="654"/>
      <c r="T288" s="547"/>
      <c r="U288" s="547"/>
      <c r="V288" s="547"/>
      <c r="W288" s="549"/>
    </row>
    <row r="289" spans="1:23">
      <c r="A289" s="565">
        <v>983</v>
      </c>
      <c r="B289" s="696" t="s">
        <v>5696</v>
      </c>
      <c r="C289" s="566">
        <f t="shared" si="4"/>
        <v>983</v>
      </c>
      <c r="D289" s="700" t="s">
        <v>2219</v>
      </c>
      <c r="E289" s="701" t="s">
        <v>8169</v>
      </c>
      <c r="F289" s="566">
        <v>1</v>
      </c>
      <c r="G289" s="662">
        <v>28608.309725037889</v>
      </c>
      <c r="H289" s="662">
        <v>29289.88924993587</v>
      </c>
      <c r="I289" s="662">
        <v>0</v>
      </c>
      <c r="J289" s="662">
        <v>0</v>
      </c>
      <c r="K289" s="566" t="s">
        <v>974</v>
      </c>
      <c r="L289" s="549"/>
      <c r="M289" s="681"/>
      <c r="O289" s="708"/>
      <c r="S289" s="654"/>
      <c r="T289" s="547"/>
      <c r="U289" s="547"/>
      <c r="V289" s="547"/>
      <c r="W289" s="549"/>
    </row>
    <row r="290" spans="1:23">
      <c r="A290" s="565">
        <v>984</v>
      </c>
      <c r="B290" s="696" t="s">
        <v>5697</v>
      </c>
      <c r="C290" s="566">
        <f t="shared" si="4"/>
        <v>984</v>
      </c>
      <c r="D290" s="700" t="s">
        <v>2219</v>
      </c>
      <c r="E290" s="701" t="s">
        <v>8170</v>
      </c>
      <c r="F290" s="566">
        <v>1</v>
      </c>
      <c r="G290" s="662">
        <v>27480.811904063943</v>
      </c>
      <c r="H290" s="662">
        <v>28133.190358761807</v>
      </c>
      <c r="I290" s="662">
        <v>0</v>
      </c>
      <c r="J290" s="662">
        <v>0</v>
      </c>
      <c r="K290" s="566" t="s">
        <v>975</v>
      </c>
      <c r="L290" s="549"/>
      <c r="M290" s="681"/>
      <c r="O290" s="708"/>
      <c r="S290" s="654"/>
      <c r="T290" s="547"/>
      <c r="U290" s="547"/>
      <c r="V290" s="547"/>
      <c r="W290" s="549"/>
    </row>
    <row r="291" spans="1:23">
      <c r="A291" s="565">
        <v>985</v>
      </c>
      <c r="B291" s="696" t="s">
        <v>5698</v>
      </c>
      <c r="C291" s="566">
        <f t="shared" si="4"/>
        <v>985</v>
      </c>
      <c r="D291" s="700" t="s">
        <v>2219</v>
      </c>
      <c r="E291" s="701" t="s">
        <v>8171</v>
      </c>
      <c r="F291" s="566">
        <v>1</v>
      </c>
      <c r="G291" s="662">
        <v>27083.361920363262</v>
      </c>
      <c r="H291" s="662">
        <v>27742.180341721421</v>
      </c>
      <c r="I291" s="662">
        <v>0</v>
      </c>
      <c r="J291" s="662">
        <v>0</v>
      </c>
      <c r="K291" s="566" t="s">
        <v>976</v>
      </c>
      <c r="L291" s="549"/>
      <c r="M291" s="681"/>
      <c r="O291" s="708"/>
      <c r="S291" s="654"/>
      <c r="T291" s="547"/>
      <c r="U291" s="547"/>
      <c r="V291" s="547"/>
      <c r="W291" s="549"/>
    </row>
    <row r="292" spans="1:23">
      <c r="A292" s="565">
        <v>986</v>
      </c>
      <c r="B292" s="696" t="s">
        <v>5699</v>
      </c>
      <c r="C292" s="566">
        <f t="shared" si="4"/>
        <v>986</v>
      </c>
      <c r="D292" s="700" t="s">
        <v>2219</v>
      </c>
      <c r="E292" s="701" t="s">
        <v>8172</v>
      </c>
      <c r="F292" s="566">
        <v>1</v>
      </c>
      <c r="G292" s="662">
        <v>0</v>
      </c>
      <c r="H292" s="662">
        <v>0</v>
      </c>
      <c r="I292" s="662">
        <v>37854.13959295291</v>
      </c>
      <c r="J292" s="662">
        <v>39128.083739236063</v>
      </c>
      <c r="K292" s="566" t="s">
        <v>3929</v>
      </c>
      <c r="L292" s="549"/>
      <c r="M292" s="681"/>
      <c r="O292" s="708"/>
      <c r="S292" s="654"/>
      <c r="T292" s="547"/>
      <c r="U292" s="547"/>
      <c r="V292" s="547"/>
      <c r="W292" s="549"/>
    </row>
    <row r="293" spans="1:23">
      <c r="A293" s="565">
        <v>987</v>
      </c>
      <c r="B293" s="696" t="s">
        <v>5700</v>
      </c>
      <c r="C293" s="566">
        <f t="shared" si="4"/>
        <v>987</v>
      </c>
      <c r="D293" s="700" t="s">
        <v>2219</v>
      </c>
      <c r="E293" s="701" t="s">
        <v>8173</v>
      </c>
      <c r="F293" s="566">
        <v>1</v>
      </c>
      <c r="G293" s="662">
        <v>0</v>
      </c>
      <c r="H293" s="662">
        <v>0</v>
      </c>
      <c r="I293" s="662">
        <v>34847.138686023507</v>
      </c>
      <c r="J293" s="662">
        <v>36013.379328439412</v>
      </c>
      <c r="K293" s="566" t="s">
        <v>3930</v>
      </c>
      <c r="L293" s="549"/>
      <c r="M293" s="681"/>
      <c r="O293" s="708"/>
      <c r="S293" s="654"/>
      <c r="T293" s="547"/>
      <c r="U293" s="547"/>
      <c r="V293" s="547"/>
      <c r="W293" s="549"/>
    </row>
    <row r="294" spans="1:23">
      <c r="A294" s="565">
        <v>988</v>
      </c>
      <c r="B294" s="696" t="s">
        <v>5701</v>
      </c>
      <c r="C294" s="566">
        <f t="shared" si="4"/>
        <v>988</v>
      </c>
      <c r="D294" s="700" t="s">
        <v>2219</v>
      </c>
      <c r="E294" s="701" t="s">
        <v>8174</v>
      </c>
      <c r="F294" s="566">
        <v>1</v>
      </c>
      <c r="G294" s="662">
        <v>0</v>
      </c>
      <c r="H294" s="662">
        <v>0</v>
      </c>
      <c r="I294" s="662">
        <v>34847.138686023507</v>
      </c>
      <c r="J294" s="662">
        <v>36013.379328439412</v>
      </c>
      <c r="K294" s="566" t="s">
        <v>3931</v>
      </c>
      <c r="L294" s="549"/>
      <c r="M294" s="681"/>
      <c r="O294" s="708"/>
      <c r="S294" s="654"/>
      <c r="T294" s="547"/>
      <c r="U294" s="547"/>
      <c r="V294" s="547"/>
      <c r="W294" s="549"/>
    </row>
    <row r="295" spans="1:23">
      <c r="A295" s="565">
        <v>989</v>
      </c>
      <c r="B295" s="696" t="s">
        <v>5702</v>
      </c>
      <c r="C295" s="566">
        <f t="shared" si="4"/>
        <v>989</v>
      </c>
      <c r="D295" s="700" t="s">
        <v>2219</v>
      </c>
      <c r="E295" s="701" t="s">
        <v>8175</v>
      </c>
      <c r="F295" s="566">
        <v>1</v>
      </c>
      <c r="G295" s="662">
        <v>0</v>
      </c>
      <c r="H295" s="662">
        <v>0</v>
      </c>
      <c r="I295" s="662">
        <v>35517.8043361979</v>
      </c>
      <c r="J295" s="662">
        <v>36708.07146461738</v>
      </c>
      <c r="K295" s="566" t="s">
        <v>3932</v>
      </c>
      <c r="L295" s="549"/>
      <c r="M295" s="681"/>
      <c r="O295" s="708"/>
      <c r="S295" s="654"/>
      <c r="T295" s="547"/>
      <c r="U295" s="547"/>
      <c r="V295" s="547"/>
      <c r="W295" s="549"/>
    </row>
    <row r="296" spans="1:23">
      <c r="A296" s="565">
        <v>990</v>
      </c>
      <c r="B296" s="696" t="s">
        <v>5703</v>
      </c>
      <c r="C296" s="566">
        <f t="shared" si="4"/>
        <v>990</v>
      </c>
      <c r="D296" s="700" t="s">
        <v>2219</v>
      </c>
      <c r="E296" s="701" t="s">
        <v>8176</v>
      </c>
      <c r="F296" s="566">
        <v>1</v>
      </c>
      <c r="G296" s="662">
        <v>0</v>
      </c>
      <c r="H296" s="662">
        <v>0</v>
      </c>
      <c r="I296" s="662">
        <v>33725.697762781099</v>
      </c>
      <c r="J296" s="662">
        <v>34851.783413018013</v>
      </c>
      <c r="K296" s="566" t="s">
        <v>3933</v>
      </c>
      <c r="L296" s="549"/>
      <c r="M296" s="681"/>
      <c r="O296" s="708"/>
      <c r="S296" s="654"/>
      <c r="T296" s="547"/>
      <c r="U296" s="547"/>
      <c r="V296" s="547"/>
      <c r="W296" s="549"/>
    </row>
    <row r="297" spans="1:23">
      <c r="A297" s="565">
        <v>991</v>
      </c>
      <c r="B297" s="696" t="s">
        <v>5704</v>
      </c>
      <c r="C297" s="566">
        <f t="shared" si="4"/>
        <v>991</v>
      </c>
      <c r="D297" s="700" t="s">
        <v>2219</v>
      </c>
      <c r="E297" s="701" t="s">
        <v>8177</v>
      </c>
      <c r="F297" s="566">
        <v>1</v>
      </c>
      <c r="G297" s="662">
        <v>0</v>
      </c>
      <c r="H297" s="662">
        <v>35016.46783116251</v>
      </c>
      <c r="I297" s="662">
        <v>36188.777447551634</v>
      </c>
      <c r="J297" s="662">
        <v>37422.816011545117</v>
      </c>
      <c r="K297" s="566" t="s">
        <v>3011</v>
      </c>
      <c r="L297" s="549"/>
      <c r="M297" s="674"/>
      <c r="O297" s="708"/>
      <c r="S297" s="654"/>
      <c r="T297" s="547"/>
      <c r="U297" s="547"/>
      <c r="V297" s="547"/>
      <c r="W297" s="549"/>
    </row>
    <row r="298" spans="1:23">
      <c r="A298" s="565">
        <v>992</v>
      </c>
      <c r="B298" s="696" t="s">
        <v>5705</v>
      </c>
      <c r="C298" s="566">
        <f t="shared" si="4"/>
        <v>992</v>
      </c>
      <c r="D298" s="700" t="s">
        <v>2219</v>
      </c>
      <c r="E298" s="701" t="s">
        <v>8178</v>
      </c>
      <c r="F298" s="566">
        <v>1</v>
      </c>
      <c r="G298" s="662">
        <v>0</v>
      </c>
      <c r="H298" s="662">
        <v>0</v>
      </c>
      <c r="I298" s="662">
        <v>38953.59147848469</v>
      </c>
      <c r="J298" s="662">
        <v>40266.942387278905</v>
      </c>
      <c r="K298" s="566" t="s">
        <v>3934</v>
      </c>
      <c r="L298" s="549"/>
      <c r="M298" s="674"/>
      <c r="O298" s="708"/>
      <c r="S298" s="654"/>
      <c r="T298" s="547"/>
      <c r="U298" s="547"/>
      <c r="V298" s="547"/>
      <c r="W298" s="549"/>
    </row>
    <row r="299" spans="1:23">
      <c r="A299" s="565">
        <v>993</v>
      </c>
      <c r="B299" s="696" t="s">
        <v>5706</v>
      </c>
      <c r="C299" s="566">
        <f t="shared" si="4"/>
        <v>993</v>
      </c>
      <c r="D299" s="700" t="s">
        <v>2219</v>
      </c>
      <c r="E299" s="701" t="s">
        <v>8179</v>
      </c>
      <c r="F299" s="566">
        <v>1</v>
      </c>
      <c r="G299" s="662">
        <v>0</v>
      </c>
      <c r="H299" s="662">
        <v>33638.99778306701</v>
      </c>
      <c r="I299" s="662">
        <v>34825.149648312865</v>
      </c>
      <c r="J299" s="662">
        <v>35990.600492745965</v>
      </c>
      <c r="K299" s="566" t="s">
        <v>3935</v>
      </c>
      <c r="L299" s="549"/>
      <c r="M299" s="674"/>
      <c r="O299" s="708"/>
      <c r="S299" s="654"/>
      <c r="T299" s="547"/>
      <c r="U299" s="547"/>
      <c r="V299" s="547"/>
      <c r="W299" s="549"/>
    </row>
    <row r="300" spans="1:23">
      <c r="A300" s="565">
        <v>994</v>
      </c>
      <c r="B300" s="696" t="s">
        <v>5707</v>
      </c>
      <c r="C300" s="566">
        <f t="shared" si="4"/>
        <v>994</v>
      </c>
      <c r="D300" s="700" t="s">
        <v>2219</v>
      </c>
      <c r="E300" s="701" t="s">
        <v>8180</v>
      </c>
      <c r="F300" s="566">
        <v>1</v>
      </c>
      <c r="G300" s="662">
        <v>0</v>
      </c>
      <c r="H300" s="662">
        <v>34491.0252325654</v>
      </c>
      <c r="I300" s="662">
        <v>35664.249351882005</v>
      </c>
      <c r="J300" s="662">
        <v>36899.202418802954</v>
      </c>
      <c r="K300" s="566" t="s">
        <v>3012</v>
      </c>
      <c r="L300" s="549"/>
      <c r="M300" s="674"/>
      <c r="O300" s="708"/>
      <c r="S300" s="654"/>
      <c r="T300" s="547"/>
      <c r="U300" s="547"/>
      <c r="V300" s="547"/>
      <c r="W300" s="549"/>
    </row>
    <row r="301" spans="1:23">
      <c r="A301" s="565">
        <v>995</v>
      </c>
      <c r="B301" s="696" t="s">
        <v>5708</v>
      </c>
      <c r="C301" s="566">
        <f t="shared" si="4"/>
        <v>995</v>
      </c>
      <c r="D301" s="700" t="s">
        <v>2219</v>
      </c>
      <c r="E301" s="701" t="s">
        <v>8181</v>
      </c>
      <c r="F301" s="566">
        <v>1</v>
      </c>
      <c r="G301" s="662">
        <v>0</v>
      </c>
      <c r="H301" s="662">
        <v>35661.711958193097</v>
      </c>
      <c r="I301" s="662">
        <v>36877.585168581798</v>
      </c>
      <c r="J301" s="662">
        <v>38157.473583893516</v>
      </c>
      <c r="K301" s="566" t="s">
        <v>3013</v>
      </c>
      <c r="L301" s="549"/>
      <c r="M301" s="674"/>
      <c r="O301" s="708"/>
      <c r="S301" s="654"/>
      <c r="T301" s="547"/>
      <c r="U301" s="547"/>
      <c r="V301" s="547"/>
      <c r="W301" s="549"/>
    </row>
    <row r="302" spans="1:23">
      <c r="A302" s="565">
        <v>996</v>
      </c>
      <c r="B302" s="696" t="s">
        <v>5709</v>
      </c>
      <c r="C302" s="566">
        <f t="shared" si="4"/>
        <v>996</v>
      </c>
      <c r="D302" s="700" t="s">
        <v>2219</v>
      </c>
      <c r="E302" s="701" t="s">
        <v>8182</v>
      </c>
      <c r="F302" s="566">
        <v>1</v>
      </c>
      <c r="G302" s="662">
        <v>0</v>
      </c>
      <c r="H302" s="662">
        <v>0</v>
      </c>
      <c r="I302" s="662">
        <v>0</v>
      </c>
      <c r="J302" s="662">
        <v>44630.172997583257</v>
      </c>
      <c r="K302" s="566" t="s">
        <v>4627</v>
      </c>
      <c r="L302" s="549"/>
      <c r="M302" s="674"/>
      <c r="O302" s="708"/>
      <c r="S302" s="654"/>
      <c r="T302" s="547"/>
      <c r="U302" s="547"/>
      <c r="V302" s="547"/>
      <c r="W302" s="549"/>
    </row>
    <row r="303" spans="1:23">
      <c r="A303" s="565">
        <v>997</v>
      </c>
      <c r="B303" s="696" t="s">
        <v>5710</v>
      </c>
      <c r="C303" s="566">
        <f t="shared" si="4"/>
        <v>997</v>
      </c>
      <c r="D303" s="700" t="s">
        <v>2219</v>
      </c>
      <c r="E303" s="701" t="s">
        <v>8183</v>
      </c>
      <c r="F303" s="566">
        <v>1</v>
      </c>
      <c r="G303" s="662">
        <v>0</v>
      </c>
      <c r="H303" s="662">
        <v>0</v>
      </c>
      <c r="I303" s="662">
        <v>0</v>
      </c>
      <c r="J303" s="662">
        <v>43680.132569008354</v>
      </c>
      <c r="K303" s="566" t="s">
        <v>4628</v>
      </c>
      <c r="L303" s="549"/>
      <c r="M303" s="674"/>
      <c r="O303" s="708"/>
    </row>
    <row r="304" spans="1:23">
      <c r="A304" s="565">
        <v>998</v>
      </c>
      <c r="B304" s="695" t="s">
        <v>5711</v>
      </c>
      <c r="C304" s="566">
        <f t="shared" si="4"/>
        <v>998</v>
      </c>
      <c r="D304" s="699" t="s">
        <v>2219</v>
      </c>
      <c r="E304" s="701" t="s">
        <v>8184</v>
      </c>
      <c r="F304" s="567">
        <v>1</v>
      </c>
      <c r="G304" s="662">
        <v>0</v>
      </c>
      <c r="H304" s="662">
        <v>0</v>
      </c>
      <c r="I304" s="662">
        <v>0</v>
      </c>
      <c r="J304" s="662">
        <v>45865.225554730605</v>
      </c>
      <c r="K304" s="568" t="s">
        <v>4629</v>
      </c>
      <c r="L304" s="549"/>
      <c r="M304" s="674"/>
      <c r="O304" s="708"/>
    </row>
    <row r="305" spans="1:15">
      <c r="A305" s="565">
        <v>999</v>
      </c>
      <c r="B305" s="696" t="s">
        <v>5712</v>
      </c>
      <c r="C305" s="566">
        <f t="shared" si="4"/>
        <v>999</v>
      </c>
      <c r="D305" s="700" t="s">
        <v>2219</v>
      </c>
      <c r="E305" s="701" t="s">
        <v>8185</v>
      </c>
      <c r="F305" s="566">
        <v>1</v>
      </c>
      <c r="G305" s="662">
        <v>0</v>
      </c>
      <c r="H305" s="662">
        <v>0</v>
      </c>
      <c r="I305" s="662">
        <v>0</v>
      </c>
      <c r="J305" s="662">
        <v>44915.185126155717</v>
      </c>
      <c r="K305" s="566" t="s">
        <v>4630</v>
      </c>
      <c r="L305" s="549"/>
      <c r="M305" s="674"/>
      <c r="O305" s="708"/>
    </row>
    <row r="306" spans="1:15">
      <c r="A306" s="565">
        <v>1000</v>
      </c>
      <c r="B306" s="696" t="s">
        <v>5713</v>
      </c>
      <c r="C306" s="566">
        <f t="shared" si="4"/>
        <v>1000</v>
      </c>
      <c r="D306" s="700" t="s">
        <v>2219</v>
      </c>
      <c r="E306" s="701" t="s">
        <v>8186</v>
      </c>
      <c r="F306" s="566">
        <v>1</v>
      </c>
      <c r="G306" s="662">
        <v>42636.872920602495</v>
      </c>
      <c r="H306" s="662">
        <v>43708.955309363359</v>
      </c>
      <c r="I306" s="662">
        <v>0</v>
      </c>
      <c r="J306" s="662">
        <v>0</v>
      </c>
      <c r="K306" s="566" t="s">
        <v>977</v>
      </c>
      <c r="L306" s="549"/>
      <c r="M306" s="674"/>
      <c r="O306" s="708"/>
    </row>
    <row r="307" spans="1:15">
      <c r="A307" s="565">
        <v>1001</v>
      </c>
      <c r="B307" s="696" t="s">
        <v>5714</v>
      </c>
      <c r="C307" s="566">
        <f t="shared" si="4"/>
        <v>1001</v>
      </c>
      <c r="D307" s="700" t="s">
        <v>2219</v>
      </c>
      <c r="E307" s="701" t="s">
        <v>8187</v>
      </c>
      <c r="F307" s="566">
        <v>1</v>
      </c>
      <c r="G307" s="662">
        <v>34350.76025744561</v>
      </c>
      <c r="H307" s="662">
        <v>35224.309780881325</v>
      </c>
      <c r="I307" s="662">
        <v>0</v>
      </c>
      <c r="J307" s="662">
        <v>0</v>
      </c>
      <c r="K307" s="566" t="s">
        <v>978</v>
      </c>
      <c r="L307" s="549"/>
      <c r="M307" s="674"/>
      <c r="O307" s="708"/>
    </row>
    <row r="308" spans="1:15">
      <c r="A308" s="565">
        <v>1002</v>
      </c>
      <c r="B308" s="696" t="s">
        <v>5715</v>
      </c>
      <c r="C308" s="566">
        <f t="shared" si="4"/>
        <v>1002</v>
      </c>
      <c r="D308" s="700" t="s">
        <v>2219</v>
      </c>
      <c r="E308" s="701" t="s">
        <v>8188</v>
      </c>
      <c r="F308" s="566">
        <v>1</v>
      </c>
      <c r="G308" s="662">
        <v>0</v>
      </c>
      <c r="H308" s="662">
        <v>0</v>
      </c>
      <c r="I308" s="662">
        <v>38421.658796846292</v>
      </c>
      <c r="J308" s="662">
        <v>39307.350852839962</v>
      </c>
      <c r="K308" s="566" t="s">
        <v>4631</v>
      </c>
      <c r="L308" s="549"/>
      <c r="M308" s="674"/>
      <c r="O308" s="708"/>
    </row>
    <row r="309" spans="1:15">
      <c r="A309" s="565">
        <v>1003</v>
      </c>
      <c r="B309" s="695" t="s">
        <v>5716</v>
      </c>
      <c r="C309" s="566">
        <f t="shared" si="4"/>
        <v>1003</v>
      </c>
      <c r="D309" s="699" t="s">
        <v>2219</v>
      </c>
      <c r="E309" s="701" t="s">
        <v>8189</v>
      </c>
      <c r="F309" s="567">
        <v>1</v>
      </c>
      <c r="G309" s="662">
        <v>0</v>
      </c>
      <c r="H309" s="662">
        <v>39072.436490420092</v>
      </c>
      <c r="I309" s="662">
        <v>39974.080982911975</v>
      </c>
      <c r="J309" s="662">
        <v>40923.189504491747</v>
      </c>
      <c r="K309" s="568" t="s">
        <v>4632</v>
      </c>
      <c r="L309" s="549"/>
      <c r="M309" s="674"/>
      <c r="O309" s="708"/>
    </row>
    <row r="310" spans="1:15">
      <c r="A310" s="565">
        <v>1004</v>
      </c>
      <c r="B310" s="695" t="s">
        <v>5717</v>
      </c>
      <c r="C310" s="566">
        <f t="shared" si="4"/>
        <v>1004</v>
      </c>
      <c r="D310" s="699" t="s">
        <v>2219</v>
      </c>
      <c r="E310" s="701" t="s">
        <v>8190</v>
      </c>
      <c r="F310" s="567">
        <v>1</v>
      </c>
      <c r="G310" s="662">
        <v>32672.308145149684</v>
      </c>
      <c r="H310" s="662">
        <v>33500.114241276991</v>
      </c>
      <c r="I310" s="662">
        <v>0</v>
      </c>
      <c r="J310" s="662">
        <v>0</v>
      </c>
      <c r="K310" s="568" t="s">
        <v>979</v>
      </c>
      <c r="L310" s="549"/>
      <c r="M310" s="674"/>
      <c r="O310" s="708"/>
    </row>
    <row r="311" spans="1:15">
      <c r="A311" s="565">
        <v>1005</v>
      </c>
      <c r="B311" s="695" t="s">
        <v>5718</v>
      </c>
      <c r="C311" s="566">
        <f t="shared" si="4"/>
        <v>1005</v>
      </c>
      <c r="D311" s="699" t="s">
        <v>2219</v>
      </c>
      <c r="E311" s="701" t="s">
        <v>8191</v>
      </c>
      <c r="F311" s="567">
        <v>1</v>
      </c>
      <c r="G311" s="662">
        <v>47748.894188698781</v>
      </c>
      <c r="H311" s="662">
        <v>48926.105346185126</v>
      </c>
      <c r="I311" s="662">
        <v>0</v>
      </c>
      <c r="J311" s="662">
        <v>0</v>
      </c>
      <c r="K311" s="568" t="s">
        <v>980</v>
      </c>
      <c r="L311" s="549"/>
      <c r="M311" s="674"/>
      <c r="O311" s="708"/>
    </row>
    <row r="312" spans="1:15">
      <c r="A312" s="565">
        <v>1006</v>
      </c>
      <c r="B312" s="696" t="s">
        <v>5719</v>
      </c>
      <c r="C312" s="566">
        <f t="shared" si="4"/>
        <v>1006</v>
      </c>
      <c r="D312" s="700" t="s">
        <v>2219</v>
      </c>
      <c r="E312" s="701" t="s">
        <v>8192</v>
      </c>
      <c r="F312" s="566">
        <v>1</v>
      </c>
      <c r="G312" s="662">
        <v>41611.305243880881</v>
      </c>
      <c r="H312" s="662">
        <v>42629.581956995273</v>
      </c>
      <c r="I312" s="662">
        <v>0</v>
      </c>
      <c r="J312" s="662">
        <v>0</v>
      </c>
      <c r="K312" s="566" t="s">
        <v>981</v>
      </c>
      <c r="L312" s="549"/>
      <c r="M312" s="674"/>
      <c r="O312" s="708"/>
    </row>
    <row r="313" spans="1:15">
      <c r="A313" s="565">
        <v>1007</v>
      </c>
      <c r="B313" s="696" t="s">
        <v>5720</v>
      </c>
      <c r="C313" s="566">
        <f t="shared" si="4"/>
        <v>1007</v>
      </c>
      <c r="D313" s="700" t="s">
        <v>2219</v>
      </c>
      <c r="E313" s="701" t="s">
        <v>8193</v>
      </c>
      <c r="F313" s="566">
        <v>1</v>
      </c>
      <c r="G313" s="662">
        <v>0</v>
      </c>
      <c r="H313" s="662">
        <v>39984.475301851991</v>
      </c>
      <c r="I313" s="662">
        <v>40908.48761747696</v>
      </c>
      <c r="J313" s="662">
        <v>41881.119223384601</v>
      </c>
      <c r="K313" s="566" t="s">
        <v>4633</v>
      </c>
      <c r="L313" s="549"/>
      <c r="M313" s="674"/>
      <c r="O313" s="708"/>
    </row>
    <row r="314" spans="1:15">
      <c r="A314" s="565">
        <v>1008</v>
      </c>
      <c r="B314" s="696" t="s">
        <v>5721</v>
      </c>
      <c r="C314" s="566">
        <f t="shared" si="4"/>
        <v>1008</v>
      </c>
      <c r="D314" s="700" t="s">
        <v>2219</v>
      </c>
      <c r="E314" s="701" t="s">
        <v>8194</v>
      </c>
      <c r="F314" s="566">
        <v>1</v>
      </c>
      <c r="G314" s="662">
        <v>0</v>
      </c>
      <c r="H314" s="662">
        <v>0</v>
      </c>
      <c r="I314" s="662">
        <v>37884.885954701473</v>
      </c>
      <c r="J314" s="662">
        <v>38757.427697094936</v>
      </c>
      <c r="K314" s="566" t="s">
        <v>4634</v>
      </c>
      <c r="L314" s="549"/>
      <c r="M314" s="674"/>
      <c r="O314" s="708"/>
    </row>
    <row r="315" spans="1:15">
      <c r="A315" s="565">
        <v>1009</v>
      </c>
      <c r="B315" s="696" t="s">
        <v>5722</v>
      </c>
      <c r="C315" s="566">
        <f t="shared" si="4"/>
        <v>1009</v>
      </c>
      <c r="D315" s="700" t="s">
        <v>2219</v>
      </c>
      <c r="E315" s="701" t="s">
        <v>8195</v>
      </c>
      <c r="F315" s="566">
        <v>1</v>
      </c>
      <c r="G315" s="662">
        <v>42622.995729290429</v>
      </c>
      <c r="H315" s="662">
        <v>43667.474749503563</v>
      </c>
      <c r="I315" s="662">
        <v>43667.474749503563</v>
      </c>
      <c r="J315" s="662">
        <v>44766.93928658338</v>
      </c>
      <c r="K315" s="566" t="s">
        <v>982</v>
      </c>
      <c r="L315" s="549"/>
      <c r="M315" s="674"/>
      <c r="O315" s="708"/>
    </row>
    <row r="316" spans="1:15">
      <c r="A316" s="565">
        <v>1010</v>
      </c>
      <c r="B316" s="696" t="s">
        <v>5723</v>
      </c>
      <c r="C316" s="566">
        <f t="shared" si="4"/>
        <v>1010</v>
      </c>
      <c r="D316" s="700" t="s">
        <v>2219</v>
      </c>
      <c r="E316" s="701" t="s">
        <v>8196</v>
      </c>
      <c r="F316" s="566">
        <v>1</v>
      </c>
      <c r="G316" s="662">
        <v>43559.430636151301</v>
      </c>
      <c r="H316" s="662">
        <v>44656.019310256859</v>
      </c>
      <c r="I316" s="662">
        <v>0</v>
      </c>
      <c r="J316" s="662">
        <v>0</v>
      </c>
      <c r="K316" s="566" t="s">
        <v>983</v>
      </c>
      <c r="L316" s="549"/>
      <c r="M316" s="674"/>
      <c r="O316" s="708"/>
    </row>
    <row r="317" spans="1:15">
      <c r="A317" s="565">
        <v>1011</v>
      </c>
      <c r="B317" s="696" t="s">
        <v>5724</v>
      </c>
      <c r="C317" s="566">
        <f t="shared" si="4"/>
        <v>1011</v>
      </c>
      <c r="D317" s="700" t="s">
        <v>2219</v>
      </c>
      <c r="E317" s="701" t="s">
        <v>8197</v>
      </c>
      <c r="F317" s="566">
        <v>1</v>
      </c>
      <c r="G317" s="662">
        <v>35218.902258264658</v>
      </c>
      <c r="H317" s="662">
        <v>36116.097766155348</v>
      </c>
      <c r="I317" s="662">
        <v>0</v>
      </c>
      <c r="J317" s="662">
        <v>0</v>
      </c>
      <c r="K317" s="566" t="s">
        <v>984</v>
      </c>
      <c r="L317" s="549"/>
      <c r="M317" s="674"/>
      <c r="O317" s="708"/>
    </row>
    <row r="318" spans="1:15">
      <c r="A318" s="565">
        <v>1012</v>
      </c>
      <c r="B318" s="696" t="s">
        <v>5725</v>
      </c>
      <c r="C318" s="566">
        <f t="shared" si="4"/>
        <v>1012</v>
      </c>
      <c r="D318" s="700" t="s">
        <v>2219</v>
      </c>
      <c r="E318" s="701" t="s">
        <v>8198</v>
      </c>
      <c r="F318" s="566">
        <v>1</v>
      </c>
      <c r="G318" s="662">
        <v>0</v>
      </c>
      <c r="H318" s="662">
        <v>36306.76001713096</v>
      </c>
      <c r="I318" s="662">
        <v>37047.749463471417</v>
      </c>
      <c r="J318" s="662">
        <v>39609.209332564904</v>
      </c>
      <c r="K318" s="566" t="s">
        <v>4635</v>
      </c>
      <c r="L318" s="549"/>
      <c r="M318" s="674"/>
      <c r="O318" s="708"/>
    </row>
    <row r="319" spans="1:15">
      <c r="A319" s="565">
        <v>1013</v>
      </c>
      <c r="B319" s="696" t="s">
        <v>5726</v>
      </c>
      <c r="C319" s="566">
        <f t="shared" si="4"/>
        <v>1013</v>
      </c>
      <c r="D319" s="700" t="s">
        <v>2219</v>
      </c>
      <c r="E319" s="701" t="s">
        <v>8199</v>
      </c>
      <c r="F319" s="566">
        <v>1</v>
      </c>
      <c r="G319" s="662">
        <v>0</v>
      </c>
      <c r="H319" s="662">
        <v>0</v>
      </c>
      <c r="I319" s="662">
        <v>36996.598153983927</v>
      </c>
      <c r="J319" s="662">
        <v>37847.361993854422</v>
      </c>
      <c r="K319" s="566" t="s">
        <v>4636</v>
      </c>
      <c r="L319" s="549"/>
      <c r="M319" s="674"/>
      <c r="O319" s="708"/>
    </row>
    <row r="320" spans="1:15">
      <c r="A320" s="565">
        <v>1014</v>
      </c>
      <c r="B320" s="696" t="s">
        <v>5727</v>
      </c>
      <c r="C320" s="566">
        <f t="shared" si="4"/>
        <v>1014</v>
      </c>
      <c r="D320" s="700" t="s">
        <v>2219</v>
      </c>
      <c r="E320" s="701" t="s">
        <v>8200</v>
      </c>
      <c r="F320" s="566">
        <v>1</v>
      </c>
      <c r="G320" s="662">
        <v>33540.474725994151</v>
      </c>
      <c r="H320" s="662">
        <v>34391.951386601853</v>
      </c>
      <c r="I320" s="662">
        <v>0</v>
      </c>
      <c r="J320" s="662">
        <v>0</v>
      </c>
      <c r="K320" s="566" t="s">
        <v>985</v>
      </c>
      <c r="L320" s="549"/>
      <c r="M320" s="674"/>
      <c r="O320" s="708"/>
    </row>
    <row r="321" spans="1:15">
      <c r="A321" s="565">
        <v>1015</v>
      </c>
      <c r="B321" s="696" t="s">
        <v>5728</v>
      </c>
      <c r="C321" s="566">
        <f t="shared" si="4"/>
        <v>1015</v>
      </c>
      <c r="D321" s="700" t="s">
        <v>2219</v>
      </c>
      <c r="E321" s="701" t="s">
        <v>8201</v>
      </c>
      <c r="F321" s="566">
        <v>1</v>
      </c>
      <c r="G321" s="662">
        <v>49097.8148359115</v>
      </c>
      <c r="H321" s="662">
        <v>50309.954209521034</v>
      </c>
      <c r="I321" s="662">
        <v>51585.878749097988</v>
      </c>
      <c r="J321" s="662">
        <v>0</v>
      </c>
      <c r="K321" s="566" t="s">
        <v>986</v>
      </c>
      <c r="L321" s="549"/>
      <c r="M321" s="674"/>
      <c r="O321" s="708"/>
    </row>
    <row r="322" spans="1:15">
      <c r="A322" s="565">
        <v>1016</v>
      </c>
      <c r="B322" s="696" t="s">
        <v>5729</v>
      </c>
      <c r="C322" s="566">
        <f t="shared" si="4"/>
        <v>1016</v>
      </c>
      <c r="D322" s="700" t="s">
        <v>2219</v>
      </c>
      <c r="E322" s="701" t="s">
        <v>8202</v>
      </c>
      <c r="F322" s="566">
        <v>1</v>
      </c>
      <c r="G322" s="662">
        <v>42960.225891093607</v>
      </c>
      <c r="H322" s="662">
        <v>44013.430820331188</v>
      </c>
      <c r="I322" s="662">
        <v>0</v>
      </c>
      <c r="J322" s="662">
        <v>0</v>
      </c>
      <c r="K322" s="566" t="s">
        <v>987</v>
      </c>
      <c r="L322" s="549"/>
      <c r="M322" s="674"/>
      <c r="O322" s="708"/>
    </row>
    <row r="323" spans="1:15">
      <c r="A323" s="565">
        <v>1017</v>
      </c>
      <c r="B323" s="695" t="s">
        <v>5730</v>
      </c>
      <c r="C323" s="566">
        <f t="shared" si="4"/>
        <v>1017</v>
      </c>
      <c r="D323" s="699" t="s">
        <v>2219</v>
      </c>
      <c r="E323" s="701" t="s">
        <v>8203</v>
      </c>
      <c r="F323" s="567">
        <v>1</v>
      </c>
      <c r="G323" s="662">
        <v>41600.394150809952</v>
      </c>
      <c r="H323" s="662">
        <v>42564.004887388102</v>
      </c>
      <c r="I323" s="662">
        <v>43578.324216409703</v>
      </c>
      <c r="J323" s="662">
        <v>44646.031360645633</v>
      </c>
      <c r="K323" s="568" t="s">
        <v>988</v>
      </c>
      <c r="L323" s="549"/>
      <c r="M323" s="674"/>
      <c r="O323" s="708"/>
    </row>
    <row r="324" spans="1:15">
      <c r="A324" s="565">
        <v>1018</v>
      </c>
      <c r="B324" s="695" t="s">
        <v>5731</v>
      </c>
      <c r="C324" s="566">
        <f t="shared" si="4"/>
        <v>1018</v>
      </c>
      <c r="D324" s="699" t="s">
        <v>2219</v>
      </c>
      <c r="E324" s="701" t="s">
        <v>8204</v>
      </c>
      <c r="F324" s="567">
        <v>1</v>
      </c>
      <c r="G324" s="662">
        <v>0</v>
      </c>
      <c r="H324" s="662">
        <v>0</v>
      </c>
      <c r="I324" s="662">
        <v>0</v>
      </c>
      <c r="J324" s="662">
        <v>41207.46784382483</v>
      </c>
      <c r="K324" s="568" t="s">
        <v>4637</v>
      </c>
      <c r="L324" s="549"/>
      <c r="M324" s="674"/>
      <c r="O324" s="708"/>
    </row>
    <row r="325" spans="1:15">
      <c r="A325" s="565">
        <v>1019</v>
      </c>
      <c r="B325" s="695" t="s">
        <v>5732</v>
      </c>
      <c r="C325" s="566">
        <f t="shared" si="4"/>
        <v>1019</v>
      </c>
      <c r="D325" s="699" t="s">
        <v>2219</v>
      </c>
      <c r="E325" s="701" t="s">
        <v>8205</v>
      </c>
      <c r="F325" s="567">
        <v>1</v>
      </c>
      <c r="G325" s="662">
        <v>0</v>
      </c>
      <c r="H325" s="662">
        <v>0</v>
      </c>
      <c r="I325" s="662">
        <v>0</v>
      </c>
      <c r="J325" s="662">
        <v>40108.01595829305</v>
      </c>
      <c r="K325" s="568" t="s">
        <v>4638</v>
      </c>
      <c r="L325" s="549"/>
      <c r="M325" s="674"/>
      <c r="O325" s="708"/>
    </row>
    <row r="326" spans="1:15">
      <c r="A326" s="565">
        <v>1020</v>
      </c>
      <c r="B326" s="695" t="s">
        <v>5733</v>
      </c>
      <c r="C326" s="566">
        <f t="shared" si="4"/>
        <v>1020</v>
      </c>
      <c r="D326" s="699" t="s">
        <v>2219</v>
      </c>
      <c r="E326" s="701" t="s">
        <v>8206</v>
      </c>
      <c r="F326" s="567">
        <v>1</v>
      </c>
      <c r="G326" s="662">
        <v>0</v>
      </c>
      <c r="H326" s="662">
        <v>0</v>
      </c>
      <c r="I326" s="662">
        <v>0</v>
      </c>
      <c r="J326" s="662">
        <v>42142.001946526827</v>
      </c>
      <c r="K326" s="568" t="s">
        <v>4639</v>
      </c>
      <c r="L326" s="549"/>
      <c r="M326" s="674"/>
      <c r="O326" s="708"/>
    </row>
    <row r="327" spans="1:15">
      <c r="A327" s="565">
        <v>1021</v>
      </c>
      <c r="B327" s="695" t="s">
        <v>5734</v>
      </c>
      <c r="C327" s="566">
        <f t="shared" si="4"/>
        <v>1021</v>
      </c>
      <c r="D327" s="699" t="s">
        <v>2219</v>
      </c>
      <c r="E327" s="701" t="s">
        <v>8207</v>
      </c>
      <c r="F327" s="567">
        <v>1</v>
      </c>
      <c r="G327" s="662">
        <v>0</v>
      </c>
      <c r="H327" s="662">
        <v>0</v>
      </c>
      <c r="I327" s="662">
        <v>0</v>
      </c>
      <c r="J327" s="662">
        <v>41042.550060995054</v>
      </c>
      <c r="K327" s="568" t="s">
        <v>4640</v>
      </c>
      <c r="L327" s="549"/>
      <c r="M327" s="674"/>
      <c r="O327" s="708"/>
    </row>
    <row r="328" spans="1:15">
      <c r="A328" s="565">
        <v>1022</v>
      </c>
      <c r="B328" s="695" t="s">
        <v>5735</v>
      </c>
      <c r="C328" s="566">
        <f t="shared" si="4"/>
        <v>1022</v>
      </c>
      <c r="D328" s="699" t="s">
        <v>2219</v>
      </c>
      <c r="E328" s="701" t="s">
        <v>8208</v>
      </c>
      <c r="F328" s="567">
        <v>1</v>
      </c>
      <c r="G328" s="662">
        <v>0</v>
      </c>
      <c r="H328" s="662">
        <v>0</v>
      </c>
      <c r="I328" s="662">
        <v>0</v>
      </c>
      <c r="J328" s="662">
        <v>55383.601784906765</v>
      </c>
      <c r="K328" s="568" t="s">
        <v>4641</v>
      </c>
      <c r="L328" s="549"/>
      <c r="M328" s="674"/>
      <c r="O328" s="708"/>
    </row>
    <row r="329" spans="1:15">
      <c r="A329" s="565">
        <v>1023</v>
      </c>
      <c r="B329" s="695" t="s">
        <v>5736</v>
      </c>
      <c r="C329" s="566">
        <f t="shared" ref="C329:C392" si="5">A329</f>
        <v>1023</v>
      </c>
      <c r="D329" s="699" t="s">
        <v>2219</v>
      </c>
      <c r="E329" s="701" t="s">
        <v>8209</v>
      </c>
      <c r="F329" s="567">
        <v>1</v>
      </c>
      <c r="G329" s="662">
        <v>0</v>
      </c>
      <c r="H329" s="662">
        <v>0</v>
      </c>
      <c r="I329" s="662">
        <v>0</v>
      </c>
      <c r="J329" s="662">
        <v>54321.56138277155</v>
      </c>
      <c r="K329" s="568" t="s">
        <v>4642</v>
      </c>
      <c r="L329" s="549"/>
      <c r="M329" s="674"/>
      <c r="O329" s="708"/>
    </row>
    <row r="330" spans="1:15">
      <c r="A330" s="565">
        <v>1024</v>
      </c>
      <c r="B330" s="695" t="s">
        <v>5737</v>
      </c>
      <c r="C330" s="566">
        <f t="shared" si="5"/>
        <v>1024</v>
      </c>
      <c r="D330" s="699" t="s">
        <v>2219</v>
      </c>
      <c r="E330" s="701" t="s">
        <v>8210</v>
      </c>
      <c r="F330" s="567">
        <v>1</v>
      </c>
      <c r="G330" s="662">
        <v>0</v>
      </c>
      <c r="H330" s="662">
        <v>0</v>
      </c>
      <c r="I330" s="662">
        <v>0</v>
      </c>
      <c r="J330" s="662">
        <v>50563.803389700231</v>
      </c>
      <c r="K330" s="568" t="s">
        <v>4643</v>
      </c>
      <c r="L330" s="549"/>
      <c r="M330" s="674"/>
      <c r="O330" s="708"/>
    </row>
    <row r="331" spans="1:15">
      <c r="A331" s="565">
        <v>1025</v>
      </c>
      <c r="B331" s="695" t="s">
        <v>5738</v>
      </c>
      <c r="C331" s="566">
        <f t="shared" si="5"/>
        <v>1025</v>
      </c>
      <c r="D331" s="699" t="s">
        <v>2219</v>
      </c>
      <c r="E331" s="701" t="s">
        <v>8211</v>
      </c>
      <c r="F331" s="567">
        <v>1</v>
      </c>
      <c r="G331" s="662">
        <v>0</v>
      </c>
      <c r="H331" s="662">
        <v>0</v>
      </c>
      <c r="I331" s="662">
        <v>0</v>
      </c>
      <c r="J331" s="662">
        <v>45408.608233229046</v>
      </c>
      <c r="K331" s="568" t="s">
        <v>4644</v>
      </c>
      <c r="L331" s="549"/>
      <c r="M331" s="674"/>
      <c r="O331" s="708"/>
    </row>
    <row r="332" spans="1:15">
      <c r="A332" s="565">
        <v>1026</v>
      </c>
      <c r="B332" s="696" t="s">
        <v>5739</v>
      </c>
      <c r="C332" s="566">
        <f t="shared" si="5"/>
        <v>1026</v>
      </c>
      <c r="D332" s="700" t="s">
        <v>2219</v>
      </c>
      <c r="E332" s="701" t="s">
        <v>8212</v>
      </c>
      <c r="F332" s="566">
        <v>1</v>
      </c>
      <c r="G332" s="662">
        <v>0</v>
      </c>
      <c r="H332" s="662">
        <v>0</v>
      </c>
      <c r="I332" s="662">
        <v>0</v>
      </c>
      <c r="J332" s="662">
        <v>39387.874973269732</v>
      </c>
      <c r="K332" s="566" t="s">
        <v>4645</v>
      </c>
      <c r="L332" s="549"/>
      <c r="M332" s="674"/>
      <c r="O332" s="708"/>
    </row>
    <row r="333" spans="1:15">
      <c r="A333" s="565">
        <v>1027</v>
      </c>
      <c r="B333" s="696" t="s">
        <v>5740</v>
      </c>
      <c r="C333" s="566">
        <f t="shared" si="5"/>
        <v>1027</v>
      </c>
      <c r="D333" s="700" t="s">
        <v>2219</v>
      </c>
      <c r="E333" s="701" t="s">
        <v>8213</v>
      </c>
      <c r="F333" s="566">
        <v>1</v>
      </c>
      <c r="G333" s="662">
        <v>0</v>
      </c>
      <c r="H333" s="662">
        <v>0</v>
      </c>
      <c r="I333" s="662">
        <v>0</v>
      </c>
      <c r="J333" s="662">
        <v>42774.186780707598</v>
      </c>
      <c r="K333" s="566" t="s">
        <v>4646</v>
      </c>
      <c r="L333" s="549"/>
      <c r="M333" s="674"/>
      <c r="O333" s="708"/>
    </row>
    <row r="334" spans="1:15">
      <c r="A334" s="565">
        <v>1028</v>
      </c>
      <c r="B334" s="696" t="s">
        <v>5741</v>
      </c>
      <c r="C334" s="566">
        <f t="shared" si="5"/>
        <v>1028</v>
      </c>
      <c r="D334" s="700" t="s">
        <v>2219</v>
      </c>
      <c r="E334" s="701" t="s">
        <v>8214</v>
      </c>
      <c r="F334" s="566">
        <v>1</v>
      </c>
      <c r="G334" s="662">
        <v>0</v>
      </c>
      <c r="H334" s="662">
        <v>0</v>
      </c>
      <c r="I334" s="662">
        <v>0</v>
      </c>
      <c r="J334" s="662">
        <v>38563.286059120903</v>
      </c>
      <c r="K334" s="566" t="s">
        <v>4647</v>
      </c>
      <c r="L334" s="549"/>
      <c r="M334" s="674"/>
      <c r="O334" s="708"/>
    </row>
    <row r="335" spans="1:15">
      <c r="A335" s="565">
        <v>1029</v>
      </c>
      <c r="B335" s="696" t="s">
        <v>5742</v>
      </c>
      <c r="C335" s="566">
        <f t="shared" si="5"/>
        <v>1029</v>
      </c>
      <c r="D335" s="700" t="s">
        <v>2219</v>
      </c>
      <c r="E335" s="701" t="s">
        <v>8215</v>
      </c>
      <c r="F335" s="566">
        <v>1</v>
      </c>
      <c r="G335" s="662">
        <v>40286.67688969196</v>
      </c>
      <c r="H335" s="662">
        <v>41723.402557065114</v>
      </c>
      <c r="I335" s="662">
        <v>0</v>
      </c>
      <c r="J335" s="662">
        <v>0</v>
      </c>
      <c r="K335" s="566" t="s">
        <v>989</v>
      </c>
      <c r="L335" s="549"/>
      <c r="M335" s="674"/>
      <c r="O335" s="708"/>
    </row>
    <row r="336" spans="1:15">
      <c r="A336" s="565">
        <v>1030</v>
      </c>
      <c r="B336" s="696" t="s">
        <v>5743</v>
      </c>
      <c r="C336" s="566">
        <f t="shared" si="5"/>
        <v>1030</v>
      </c>
      <c r="D336" s="700" t="s">
        <v>2219</v>
      </c>
      <c r="E336" s="701" t="s">
        <v>8216</v>
      </c>
      <c r="F336" s="566">
        <v>1</v>
      </c>
      <c r="G336" s="662">
        <v>0</v>
      </c>
      <c r="H336" s="662">
        <v>0</v>
      </c>
      <c r="I336" s="662">
        <v>0</v>
      </c>
      <c r="J336" s="662">
        <v>44060.545486779789</v>
      </c>
      <c r="K336" s="566" t="s">
        <v>4648</v>
      </c>
      <c r="L336" s="549"/>
      <c r="M336" s="664"/>
      <c r="O336" s="708"/>
    </row>
    <row r="337" spans="1:15">
      <c r="A337" s="565">
        <v>1031</v>
      </c>
      <c r="B337" s="696" t="s">
        <v>5744</v>
      </c>
      <c r="C337" s="566">
        <f t="shared" si="5"/>
        <v>1031</v>
      </c>
      <c r="D337" s="700" t="s">
        <v>2219</v>
      </c>
      <c r="E337" s="701" t="s">
        <v>8217</v>
      </c>
      <c r="F337" s="566">
        <v>1</v>
      </c>
      <c r="G337" s="662">
        <v>0</v>
      </c>
      <c r="H337" s="662">
        <v>43859.895517670237</v>
      </c>
      <c r="I337" s="662">
        <v>0</v>
      </c>
      <c r="J337" s="662">
        <v>46916.413711170426</v>
      </c>
      <c r="K337" s="566" t="s">
        <v>4649</v>
      </c>
      <c r="L337" s="549"/>
      <c r="M337" s="664"/>
      <c r="O337" s="708"/>
    </row>
    <row r="338" spans="1:15">
      <c r="A338" s="565">
        <v>1032</v>
      </c>
      <c r="B338" s="696" t="s">
        <v>5745</v>
      </c>
      <c r="C338" s="566">
        <f t="shared" si="5"/>
        <v>1032</v>
      </c>
      <c r="D338" s="700" t="s">
        <v>2219</v>
      </c>
      <c r="E338" s="701" t="s">
        <v>8218</v>
      </c>
      <c r="F338" s="566">
        <v>1</v>
      </c>
      <c r="G338" s="662">
        <v>44066.042746207437</v>
      </c>
      <c r="H338" s="662">
        <v>45645.638711840606</v>
      </c>
      <c r="I338" s="662">
        <v>0</v>
      </c>
      <c r="J338" s="662">
        <v>0</v>
      </c>
      <c r="K338" s="566" t="s">
        <v>990</v>
      </c>
      <c r="L338" s="549"/>
      <c r="M338" s="664"/>
      <c r="O338" s="708"/>
    </row>
    <row r="339" spans="1:15">
      <c r="A339" s="565">
        <v>1033</v>
      </c>
      <c r="B339" s="696" t="s">
        <v>5746</v>
      </c>
      <c r="C339" s="566">
        <f t="shared" si="5"/>
        <v>1033</v>
      </c>
      <c r="D339" s="700" t="s">
        <v>2219</v>
      </c>
      <c r="E339" s="701" t="s">
        <v>8219</v>
      </c>
      <c r="F339" s="566">
        <v>1</v>
      </c>
      <c r="G339" s="662">
        <v>0</v>
      </c>
      <c r="H339" s="662">
        <v>45186.588111988814</v>
      </c>
      <c r="I339" s="662">
        <v>46961.61527539025</v>
      </c>
      <c r="J339" s="662">
        <v>48830.057542510083</v>
      </c>
      <c r="K339" s="566" t="s">
        <v>991</v>
      </c>
      <c r="L339" s="549"/>
      <c r="M339" s="664"/>
      <c r="O339" s="708"/>
    </row>
    <row r="340" spans="1:15">
      <c r="A340" s="565">
        <v>1034</v>
      </c>
      <c r="B340" s="696" t="s">
        <v>5747</v>
      </c>
      <c r="C340" s="566">
        <f t="shared" si="5"/>
        <v>1034</v>
      </c>
      <c r="D340" s="700" t="s">
        <v>2219</v>
      </c>
      <c r="E340" s="701" t="s">
        <v>8220</v>
      </c>
      <c r="F340" s="566">
        <v>1</v>
      </c>
      <c r="G340" s="662">
        <v>0</v>
      </c>
      <c r="H340" s="662">
        <v>50349.410264354512</v>
      </c>
      <c r="I340" s="662">
        <v>52338.044450815883</v>
      </c>
      <c r="J340" s="662">
        <v>54431.355892069238</v>
      </c>
      <c r="K340" s="566" t="s">
        <v>992</v>
      </c>
      <c r="L340" s="549"/>
      <c r="M340" s="664"/>
      <c r="O340" s="708"/>
    </row>
    <row r="341" spans="1:15">
      <c r="A341" s="565">
        <v>1035</v>
      </c>
      <c r="B341" s="696" t="s">
        <v>5748</v>
      </c>
      <c r="C341" s="566">
        <f t="shared" si="5"/>
        <v>1035</v>
      </c>
      <c r="D341" s="700" t="s">
        <v>2219</v>
      </c>
      <c r="E341" s="701" t="s">
        <v>8221</v>
      </c>
      <c r="F341" s="566">
        <v>1</v>
      </c>
      <c r="G341" s="662">
        <v>0</v>
      </c>
      <c r="H341" s="662">
        <v>0</v>
      </c>
      <c r="I341" s="662">
        <v>0</v>
      </c>
      <c r="J341" s="662">
        <v>63251.478148736911</v>
      </c>
      <c r="K341" s="566" t="s">
        <v>4650</v>
      </c>
      <c r="L341" s="549"/>
      <c r="M341" s="664"/>
      <c r="O341" s="708"/>
    </row>
    <row r="342" spans="1:15">
      <c r="A342" s="565">
        <v>1036</v>
      </c>
      <c r="B342" s="696" t="s">
        <v>5749</v>
      </c>
      <c r="C342" s="566">
        <f t="shared" si="5"/>
        <v>1036</v>
      </c>
      <c r="D342" s="700" t="s">
        <v>2219</v>
      </c>
      <c r="E342" s="701" t="s">
        <v>8222</v>
      </c>
      <c r="F342" s="566">
        <v>1</v>
      </c>
      <c r="G342" s="662">
        <v>49981.093890368393</v>
      </c>
      <c r="H342" s="662">
        <v>51784.327390083323</v>
      </c>
      <c r="I342" s="662">
        <v>53587.560889798238</v>
      </c>
      <c r="J342" s="662">
        <v>55485.694852395805</v>
      </c>
      <c r="K342" s="566" t="s">
        <v>993</v>
      </c>
      <c r="L342" s="549"/>
      <c r="M342" s="664"/>
      <c r="O342" s="681"/>
    </row>
    <row r="343" spans="1:15">
      <c r="A343" s="565">
        <v>1037</v>
      </c>
      <c r="B343" s="696" t="s">
        <v>5750</v>
      </c>
      <c r="C343" s="566">
        <f t="shared" si="5"/>
        <v>1037</v>
      </c>
      <c r="D343" s="700" t="s">
        <v>2219</v>
      </c>
      <c r="E343" s="701" t="s">
        <v>8223</v>
      </c>
      <c r="F343" s="566">
        <v>1</v>
      </c>
      <c r="G343" s="662">
        <v>51630.271718666052</v>
      </c>
      <c r="H343" s="662">
        <v>53495.857690708603</v>
      </c>
      <c r="I343" s="662">
        <v>55361.443662751168</v>
      </c>
      <c r="J343" s="662">
        <v>57325.213994552294</v>
      </c>
      <c r="K343" s="566" t="s">
        <v>994</v>
      </c>
      <c r="L343" s="549"/>
      <c r="M343" s="664"/>
      <c r="O343" s="681"/>
    </row>
    <row r="344" spans="1:15">
      <c r="A344" s="565">
        <v>1038</v>
      </c>
      <c r="B344" s="696" t="s">
        <v>5751</v>
      </c>
      <c r="C344" s="566">
        <f t="shared" si="5"/>
        <v>1038</v>
      </c>
      <c r="D344" s="700" t="s">
        <v>2219</v>
      </c>
      <c r="E344" s="701" t="s">
        <v>8224</v>
      </c>
      <c r="F344" s="566">
        <v>1</v>
      </c>
      <c r="G344" s="662">
        <v>45004.209678713392</v>
      </c>
      <c r="H344" s="662">
        <v>46682.738233773067</v>
      </c>
      <c r="I344" s="662">
        <v>0</v>
      </c>
      <c r="J344" s="662">
        <v>0</v>
      </c>
      <c r="K344" s="566" t="s">
        <v>995</v>
      </c>
      <c r="L344" s="549"/>
      <c r="M344" s="664"/>
      <c r="O344" s="681"/>
    </row>
    <row r="345" spans="1:15">
      <c r="A345" s="565">
        <v>1039</v>
      </c>
      <c r="B345" s="696" t="s">
        <v>5752</v>
      </c>
      <c r="C345" s="566">
        <f t="shared" si="5"/>
        <v>1039</v>
      </c>
      <c r="D345" s="700" t="s">
        <v>2219</v>
      </c>
      <c r="E345" s="701" t="s">
        <v>8225</v>
      </c>
      <c r="F345" s="566">
        <v>1</v>
      </c>
      <c r="G345" s="662">
        <v>0</v>
      </c>
      <c r="H345" s="662">
        <v>0</v>
      </c>
      <c r="I345" s="662">
        <v>0</v>
      </c>
      <c r="J345" s="662">
        <v>55351.916351191139</v>
      </c>
      <c r="K345" s="566" t="s">
        <v>4651</v>
      </c>
      <c r="L345" s="549"/>
      <c r="M345" s="664"/>
      <c r="O345" s="681"/>
    </row>
    <row r="346" spans="1:15">
      <c r="A346" s="565">
        <v>1040</v>
      </c>
      <c r="B346" s="696" t="s">
        <v>5753</v>
      </c>
      <c r="C346" s="566">
        <f t="shared" si="5"/>
        <v>1040</v>
      </c>
      <c r="D346" s="700" t="s">
        <v>2219</v>
      </c>
      <c r="E346" s="701" t="s">
        <v>8226</v>
      </c>
      <c r="F346" s="566">
        <v>1</v>
      </c>
      <c r="G346" s="662">
        <v>0</v>
      </c>
      <c r="H346" s="662">
        <v>49651.258324708855</v>
      </c>
      <c r="I346" s="662">
        <v>51347.785960113775</v>
      </c>
      <c r="J346" s="662">
        <v>53133.560767576957</v>
      </c>
      <c r="K346" s="566" t="s">
        <v>3014</v>
      </c>
      <c r="L346" s="549"/>
      <c r="M346" s="664"/>
      <c r="O346" s="681"/>
    </row>
    <row r="347" spans="1:15">
      <c r="A347" s="565">
        <v>1041</v>
      </c>
      <c r="B347" s="696" t="s">
        <v>5754</v>
      </c>
      <c r="C347" s="566">
        <f t="shared" si="5"/>
        <v>1041</v>
      </c>
      <c r="D347" s="700" t="s">
        <v>2219</v>
      </c>
      <c r="E347" s="701" t="s">
        <v>8227</v>
      </c>
      <c r="F347" s="566">
        <v>1</v>
      </c>
      <c r="G347" s="662">
        <v>48050.91436217587</v>
      </c>
      <c r="H347" s="662">
        <v>49849.159664104569</v>
      </c>
      <c r="I347" s="662">
        <v>51552.753913039953</v>
      </c>
      <c r="J347" s="662">
        <v>53346.011017182464</v>
      </c>
      <c r="K347" s="566" t="s">
        <v>996</v>
      </c>
      <c r="L347" s="549"/>
      <c r="M347" s="664"/>
      <c r="O347" s="681"/>
    </row>
    <row r="348" spans="1:15">
      <c r="A348" s="565">
        <v>1042</v>
      </c>
      <c r="B348" s="696" t="s">
        <v>5755</v>
      </c>
      <c r="C348" s="566">
        <f t="shared" si="5"/>
        <v>1042</v>
      </c>
      <c r="D348" s="700" t="s">
        <v>2219</v>
      </c>
      <c r="E348" s="701" t="s">
        <v>8228</v>
      </c>
      <c r="F348" s="566">
        <v>1</v>
      </c>
      <c r="G348" s="662">
        <v>46588.88305945976</v>
      </c>
      <c r="H348" s="662">
        <v>0</v>
      </c>
      <c r="I348" s="662">
        <v>0</v>
      </c>
      <c r="J348" s="662">
        <v>0</v>
      </c>
      <c r="K348" s="566" t="s">
        <v>5207</v>
      </c>
      <c r="L348" s="549"/>
      <c r="M348" s="664"/>
      <c r="O348" s="681"/>
    </row>
    <row r="349" spans="1:15">
      <c r="A349" s="565">
        <v>1043</v>
      </c>
      <c r="B349" s="696" t="s">
        <v>5756</v>
      </c>
      <c r="C349" s="566">
        <f t="shared" si="5"/>
        <v>1043</v>
      </c>
      <c r="D349" s="700" t="s">
        <v>2219</v>
      </c>
      <c r="E349" s="701" t="s">
        <v>8229</v>
      </c>
      <c r="F349" s="566">
        <v>1</v>
      </c>
      <c r="G349" s="662">
        <v>65836.865090975698</v>
      </c>
      <c r="H349" s="662">
        <v>67677.611928098646</v>
      </c>
      <c r="I349" s="662">
        <v>69421.481860950516</v>
      </c>
      <c r="J349" s="662">
        <v>71257.117891747359</v>
      </c>
      <c r="K349" s="566" t="s">
        <v>3015</v>
      </c>
      <c r="L349" s="549"/>
      <c r="M349" s="664"/>
      <c r="O349" s="681"/>
    </row>
    <row r="350" spans="1:15">
      <c r="A350" s="565">
        <v>1044</v>
      </c>
      <c r="B350" s="696" t="s">
        <v>5757</v>
      </c>
      <c r="C350" s="566">
        <f t="shared" si="5"/>
        <v>1044</v>
      </c>
      <c r="D350" s="700" t="s">
        <v>2219</v>
      </c>
      <c r="E350" s="701" t="s">
        <v>8230</v>
      </c>
      <c r="F350" s="566">
        <v>1</v>
      </c>
      <c r="G350" s="662">
        <v>0</v>
      </c>
      <c r="H350" s="662">
        <v>0</v>
      </c>
      <c r="I350" s="662">
        <v>0</v>
      </c>
      <c r="J350" s="662">
        <v>67145.114038586456</v>
      </c>
      <c r="K350" s="566" t="s">
        <v>4652</v>
      </c>
      <c r="L350" s="549"/>
      <c r="M350" s="664"/>
      <c r="O350" s="681"/>
    </row>
    <row r="351" spans="1:15">
      <c r="A351" s="565">
        <v>1045</v>
      </c>
      <c r="B351" s="696" t="s">
        <v>5758</v>
      </c>
      <c r="C351" s="566">
        <f t="shared" si="5"/>
        <v>1045</v>
      </c>
      <c r="D351" s="700" t="s">
        <v>2219</v>
      </c>
      <c r="E351" s="701" t="s">
        <v>8231</v>
      </c>
      <c r="F351" s="566">
        <v>1</v>
      </c>
      <c r="G351" s="662">
        <v>0</v>
      </c>
      <c r="H351" s="662">
        <v>61875.974205935192</v>
      </c>
      <c r="I351" s="662">
        <v>63465.120901461632</v>
      </c>
      <c r="J351" s="662">
        <v>65137.89637759819</v>
      </c>
      <c r="K351" s="566" t="s">
        <v>4653</v>
      </c>
      <c r="L351" s="549"/>
      <c r="M351" s="664"/>
      <c r="O351" s="681"/>
    </row>
    <row r="352" spans="1:15">
      <c r="A352" s="565">
        <v>1046</v>
      </c>
      <c r="B352" s="695" t="s">
        <v>5759</v>
      </c>
      <c r="C352" s="566">
        <f t="shared" si="5"/>
        <v>1046</v>
      </c>
      <c r="D352" s="699" t="s">
        <v>2219</v>
      </c>
      <c r="E352" s="701" t="s">
        <v>8232</v>
      </c>
      <c r="F352" s="567">
        <v>1</v>
      </c>
      <c r="G352" s="662">
        <v>51001.599241579832</v>
      </c>
      <c r="H352" s="662">
        <v>52368.154618008855</v>
      </c>
      <c r="I352" s="662">
        <v>53806.632458882021</v>
      </c>
      <c r="J352" s="662">
        <v>55320.830178955592</v>
      </c>
      <c r="K352" s="568" t="s">
        <v>997</v>
      </c>
      <c r="L352" s="549"/>
      <c r="M352" s="664"/>
      <c r="O352" s="681"/>
    </row>
    <row r="353" spans="1:23">
      <c r="A353" s="565">
        <v>1047</v>
      </c>
      <c r="B353" s="696" t="s">
        <v>5760</v>
      </c>
      <c r="C353" s="566">
        <f t="shared" si="5"/>
        <v>1047</v>
      </c>
      <c r="D353" s="700" t="s">
        <v>2219</v>
      </c>
      <c r="E353" s="701" t="s">
        <v>8233</v>
      </c>
      <c r="F353" s="566">
        <v>1</v>
      </c>
      <c r="G353" s="662">
        <v>65795.294002535811</v>
      </c>
      <c r="H353" s="662">
        <v>68100.797451007194</v>
      </c>
      <c r="I353" s="662">
        <v>70527.680378943027</v>
      </c>
      <c r="J353" s="662">
        <v>73082.261170205849</v>
      </c>
      <c r="K353" s="566" t="s">
        <v>4654</v>
      </c>
      <c r="L353" s="549"/>
      <c r="M353" s="664"/>
      <c r="O353" s="681"/>
    </row>
    <row r="354" spans="1:23">
      <c r="A354" s="565">
        <v>1048</v>
      </c>
      <c r="B354" s="696" t="s">
        <v>5761</v>
      </c>
      <c r="C354" s="566">
        <f t="shared" si="5"/>
        <v>1048</v>
      </c>
      <c r="D354" s="700" t="s">
        <v>2219</v>
      </c>
      <c r="E354" s="701" t="s">
        <v>8234</v>
      </c>
      <c r="F354" s="566">
        <v>1</v>
      </c>
      <c r="G354" s="662">
        <v>0</v>
      </c>
      <c r="H354" s="662">
        <v>0</v>
      </c>
      <c r="I354" s="662">
        <v>93194.577339188443</v>
      </c>
      <c r="J354" s="662">
        <v>96451.995198528253</v>
      </c>
      <c r="K354" s="566" t="s">
        <v>4655</v>
      </c>
      <c r="L354" s="549"/>
      <c r="M354" s="664"/>
      <c r="O354" s="681"/>
    </row>
    <row r="355" spans="1:23">
      <c r="A355" s="565">
        <v>1049</v>
      </c>
      <c r="B355" s="695" t="s">
        <v>5762</v>
      </c>
      <c r="C355" s="566">
        <f t="shared" si="5"/>
        <v>1049</v>
      </c>
      <c r="D355" s="699" t="s">
        <v>2219</v>
      </c>
      <c r="E355" s="701" t="s">
        <v>8235</v>
      </c>
      <c r="F355" s="567">
        <v>1</v>
      </c>
      <c r="G355" s="662">
        <v>0</v>
      </c>
      <c r="H355" s="662">
        <v>67090.406255227179</v>
      </c>
      <c r="I355" s="662">
        <v>69559.688864345793</v>
      </c>
      <c r="J355" s="662">
        <v>72158.914025795195</v>
      </c>
      <c r="K355" s="568" t="s">
        <v>3016</v>
      </c>
      <c r="L355" s="549"/>
      <c r="M355" s="664"/>
      <c r="O355" s="681"/>
    </row>
    <row r="356" spans="1:23">
      <c r="A356" s="565">
        <v>1050</v>
      </c>
      <c r="B356" s="695" t="s">
        <v>5763</v>
      </c>
      <c r="C356" s="566">
        <f t="shared" si="5"/>
        <v>1050</v>
      </c>
      <c r="D356" s="699" t="s">
        <v>2219</v>
      </c>
      <c r="E356" s="701" t="s">
        <v>8236</v>
      </c>
      <c r="F356" s="567">
        <v>1</v>
      </c>
      <c r="G356" s="662">
        <v>0</v>
      </c>
      <c r="H356" s="662">
        <v>0</v>
      </c>
      <c r="I356" s="662">
        <v>83607.356897351376</v>
      </c>
      <c r="J356" s="662">
        <v>86521.503612370128</v>
      </c>
      <c r="K356" s="568" t="s">
        <v>4656</v>
      </c>
      <c r="L356" s="549"/>
      <c r="M356" s="664"/>
      <c r="O356" s="681"/>
    </row>
    <row r="357" spans="1:23">
      <c r="A357" s="565">
        <v>1051</v>
      </c>
      <c r="B357" s="696" t="s">
        <v>5764</v>
      </c>
      <c r="C357" s="566">
        <f t="shared" si="5"/>
        <v>1051</v>
      </c>
      <c r="D357" s="700" t="s">
        <v>2219</v>
      </c>
      <c r="E357" s="701" t="s">
        <v>8237</v>
      </c>
      <c r="F357" s="566">
        <v>1</v>
      </c>
      <c r="G357" s="662">
        <v>0</v>
      </c>
      <c r="H357" s="662">
        <v>0</v>
      </c>
      <c r="I357" s="662">
        <v>93634.831005407526</v>
      </c>
      <c r="J357" s="662">
        <v>96906.75620664224</v>
      </c>
      <c r="K357" s="566" t="s">
        <v>4657</v>
      </c>
      <c r="L357" s="549"/>
      <c r="M357" s="664"/>
      <c r="O357" s="681"/>
      <c r="S357" s="550"/>
      <c r="T357" s="547"/>
      <c r="U357" s="547"/>
      <c r="V357" s="547"/>
      <c r="W357" s="549"/>
    </row>
    <row r="358" spans="1:23">
      <c r="A358" s="565">
        <v>1052</v>
      </c>
      <c r="B358" s="696" t="s">
        <v>5765</v>
      </c>
      <c r="C358" s="566">
        <f t="shared" si="5"/>
        <v>1052</v>
      </c>
      <c r="D358" s="700" t="s">
        <v>2219</v>
      </c>
      <c r="E358" s="701" t="s">
        <v>8238</v>
      </c>
      <c r="F358" s="566">
        <v>1</v>
      </c>
      <c r="G358" s="662">
        <v>0</v>
      </c>
      <c r="H358" s="662">
        <v>0</v>
      </c>
      <c r="I358" s="662">
        <v>74773.733909109942</v>
      </c>
      <c r="J358" s="662">
        <v>0</v>
      </c>
      <c r="K358" s="566" t="s">
        <v>4658</v>
      </c>
      <c r="L358" s="549"/>
      <c r="M358" s="664"/>
      <c r="O358" s="681"/>
      <c r="S358" s="550"/>
      <c r="T358" s="547"/>
      <c r="U358" s="547"/>
      <c r="V358" s="547"/>
      <c r="W358" s="549"/>
    </row>
    <row r="359" spans="1:23">
      <c r="A359" s="565">
        <v>1053</v>
      </c>
      <c r="B359" s="696" t="s">
        <v>5766</v>
      </c>
      <c r="C359" s="566">
        <f t="shared" si="5"/>
        <v>1053</v>
      </c>
      <c r="D359" s="700" t="s">
        <v>2219</v>
      </c>
      <c r="E359" s="701" t="s">
        <v>8239</v>
      </c>
      <c r="F359" s="566">
        <v>1</v>
      </c>
      <c r="G359" s="662">
        <v>63650.029457242199</v>
      </c>
      <c r="H359" s="662">
        <v>0</v>
      </c>
      <c r="I359" s="662">
        <v>0</v>
      </c>
      <c r="J359" s="662">
        <v>0</v>
      </c>
      <c r="K359" s="566" t="s">
        <v>5208</v>
      </c>
      <c r="L359" s="549"/>
      <c r="M359" s="664"/>
      <c r="O359" s="681"/>
      <c r="S359" s="550"/>
      <c r="T359" s="547"/>
      <c r="U359" s="547"/>
      <c r="V359" s="547"/>
      <c r="W359" s="549"/>
    </row>
    <row r="360" spans="1:23">
      <c r="A360" s="565">
        <v>1054</v>
      </c>
      <c r="B360" s="696" t="s">
        <v>5767</v>
      </c>
      <c r="C360" s="566">
        <f t="shared" si="5"/>
        <v>1054</v>
      </c>
      <c r="D360" s="700" t="s">
        <v>2219</v>
      </c>
      <c r="E360" s="701" t="s">
        <v>8240</v>
      </c>
      <c r="F360" s="566">
        <v>1</v>
      </c>
      <c r="G360" s="662">
        <v>0</v>
      </c>
      <c r="H360" s="662">
        <v>0</v>
      </c>
      <c r="I360" s="662">
        <v>72577.089655507079</v>
      </c>
      <c r="J360" s="662">
        <v>77736.756740618075</v>
      </c>
      <c r="K360" s="566" t="s">
        <v>4659</v>
      </c>
      <c r="L360" s="549"/>
      <c r="M360" s="664"/>
      <c r="O360" s="681"/>
      <c r="S360" s="550"/>
      <c r="T360" s="547"/>
      <c r="U360" s="547"/>
      <c r="V360" s="547"/>
      <c r="W360" s="549"/>
    </row>
    <row r="361" spans="1:23">
      <c r="A361" s="565">
        <v>1055</v>
      </c>
      <c r="B361" s="696" t="s">
        <v>5768</v>
      </c>
      <c r="C361" s="566">
        <f t="shared" si="5"/>
        <v>1055</v>
      </c>
      <c r="D361" s="700" t="s">
        <v>2219</v>
      </c>
      <c r="E361" s="701" t="s">
        <v>8241</v>
      </c>
      <c r="F361" s="566">
        <v>1</v>
      </c>
      <c r="G361" s="662">
        <v>63876.923028895973</v>
      </c>
      <c r="H361" s="662">
        <v>65604.661087031316</v>
      </c>
      <c r="I361" s="662">
        <v>67423.308683392199</v>
      </c>
      <c r="J361" s="662">
        <v>69337.719656388872</v>
      </c>
      <c r="K361" s="566" t="s">
        <v>3017</v>
      </c>
      <c r="L361" s="549"/>
      <c r="M361" s="664"/>
      <c r="O361" s="681"/>
      <c r="S361" s="550"/>
      <c r="T361" s="547"/>
      <c r="U361" s="547"/>
      <c r="V361" s="547"/>
      <c r="W361" s="549"/>
    </row>
    <row r="362" spans="1:23">
      <c r="A362" s="565">
        <v>1056</v>
      </c>
      <c r="B362" s="696" t="s">
        <v>5769</v>
      </c>
      <c r="C362" s="566">
        <f t="shared" si="5"/>
        <v>1056</v>
      </c>
      <c r="D362" s="700" t="s">
        <v>2219</v>
      </c>
      <c r="E362" s="701" t="s">
        <v>8242</v>
      </c>
      <c r="F362" s="566">
        <v>1</v>
      </c>
      <c r="G362" s="662">
        <v>71197.553660642923</v>
      </c>
      <c r="H362" s="662">
        <v>0</v>
      </c>
      <c r="I362" s="662">
        <v>0</v>
      </c>
      <c r="J362" s="662">
        <v>0</v>
      </c>
      <c r="K362" s="566" t="s">
        <v>5209</v>
      </c>
      <c r="L362" s="549"/>
      <c r="M362" s="664"/>
      <c r="O362" s="681"/>
      <c r="S362" s="550"/>
      <c r="T362" s="547"/>
      <c r="U362" s="547"/>
      <c r="V362" s="547"/>
      <c r="W362" s="549"/>
    </row>
    <row r="363" spans="1:23">
      <c r="A363" s="565">
        <v>1057</v>
      </c>
      <c r="B363" s="696" t="s">
        <v>5770</v>
      </c>
      <c r="C363" s="566">
        <f t="shared" si="5"/>
        <v>1057</v>
      </c>
      <c r="D363" s="700" t="s">
        <v>2219</v>
      </c>
      <c r="E363" s="701" t="s">
        <v>8243</v>
      </c>
      <c r="F363" s="566">
        <v>1</v>
      </c>
      <c r="G363" s="662">
        <v>33043.466646173612</v>
      </c>
      <c r="H363" s="662">
        <v>34597.700222845386</v>
      </c>
      <c r="I363" s="662">
        <v>35415.710947032036</v>
      </c>
      <c r="J363" s="662">
        <v>36276.774867228523</v>
      </c>
      <c r="K363" s="566" t="s">
        <v>3018</v>
      </c>
      <c r="L363" s="549"/>
      <c r="M363" s="664"/>
      <c r="O363" s="681"/>
      <c r="S363" s="550"/>
      <c r="T363" s="547"/>
      <c r="U363" s="547"/>
      <c r="V363" s="547"/>
      <c r="W363" s="549"/>
    </row>
    <row r="364" spans="1:23">
      <c r="A364" s="565">
        <v>1058</v>
      </c>
      <c r="B364" s="696" t="s">
        <v>5771</v>
      </c>
      <c r="C364" s="566">
        <f t="shared" si="5"/>
        <v>1058</v>
      </c>
      <c r="D364" s="700" t="s">
        <v>2219</v>
      </c>
      <c r="E364" s="701" t="s">
        <v>8244</v>
      </c>
      <c r="F364" s="566">
        <v>1</v>
      </c>
      <c r="G364" s="662">
        <v>0</v>
      </c>
      <c r="H364" s="662">
        <v>0</v>
      </c>
      <c r="I364" s="662">
        <v>37161.484905067889</v>
      </c>
      <c r="J364" s="662">
        <v>38410.612767364648</v>
      </c>
      <c r="K364" s="566" t="s">
        <v>3936</v>
      </c>
      <c r="L364" s="549"/>
      <c r="M364" s="664"/>
      <c r="O364" s="681"/>
      <c r="S364" s="550"/>
      <c r="T364" s="547"/>
      <c r="U364" s="547"/>
      <c r="V364" s="547"/>
      <c r="W364" s="549"/>
    </row>
    <row r="365" spans="1:23">
      <c r="A365" s="565">
        <v>1059</v>
      </c>
      <c r="B365" s="696" t="s">
        <v>5772</v>
      </c>
      <c r="C365" s="566">
        <f t="shared" si="5"/>
        <v>1059</v>
      </c>
      <c r="D365" s="700" t="s">
        <v>2219</v>
      </c>
      <c r="E365" s="701" t="s">
        <v>8245</v>
      </c>
      <c r="F365" s="566">
        <v>1</v>
      </c>
      <c r="G365" s="662">
        <v>0</v>
      </c>
      <c r="H365" s="662">
        <v>0</v>
      </c>
      <c r="I365" s="662">
        <v>37876.128630663545</v>
      </c>
      <c r="J365" s="662">
        <v>39150.862574929517</v>
      </c>
      <c r="K365" s="566" t="s">
        <v>3937</v>
      </c>
      <c r="L365" s="549"/>
      <c r="M365" s="664"/>
      <c r="O365" s="681"/>
      <c r="S365" s="550"/>
      <c r="T365" s="547"/>
      <c r="U365" s="547"/>
      <c r="V365" s="547"/>
      <c r="W365" s="549"/>
    </row>
    <row r="366" spans="1:23">
      <c r="A366" s="565">
        <v>1060</v>
      </c>
      <c r="B366" s="696" t="s">
        <v>5773</v>
      </c>
      <c r="C366" s="566">
        <f t="shared" si="5"/>
        <v>1060</v>
      </c>
      <c r="D366" s="700" t="s">
        <v>2219</v>
      </c>
      <c r="E366" s="701" t="s">
        <v>8246</v>
      </c>
      <c r="F366" s="566">
        <v>1</v>
      </c>
      <c r="G366" s="662">
        <v>0</v>
      </c>
      <c r="H366" s="662">
        <v>0</v>
      </c>
      <c r="I366" s="662">
        <v>0</v>
      </c>
      <c r="J366" s="662">
        <v>42411.36765848213</v>
      </c>
      <c r="K366" s="566" t="s">
        <v>4660</v>
      </c>
      <c r="L366" s="549"/>
      <c r="M366" s="664"/>
      <c r="O366" s="681"/>
      <c r="S366" s="550"/>
      <c r="T366" s="547"/>
      <c r="U366" s="547"/>
      <c r="V366" s="547"/>
      <c r="W366" s="549"/>
    </row>
    <row r="367" spans="1:23">
      <c r="A367" s="565">
        <v>1061</v>
      </c>
      <c r="B367" s="695" t="s">
        <v>5774</v>
      </c>
      <c r="C367" s="566">
        <f t="shared" si="5"/>
        <v>1061</v>
      </c>
      <c r="D367" s="699" t="s">
        <v>2219</v>
      </c>
      <c r="E367" s="701" t="s">
        <v>8247</v>
      </c>
      <c r="F367" s="567">
        <v>1</v>
      </c>
      <c r="G367" s="662">
        <v>0</v>
      </c>
      <c r="H367" s="662">
        <v>0</v>
      </c>
      <c r="I367" s="662">
        <v>0</v>
      </c>
      <c r="J367" s="662">
        <v>41311.915772950349</v>
      </c>
      <c r="K367" s="568" t="s">
        <v>4661</v>
      </c>
      <c r="L367" s="549"/>
      <c r="M367" s="664"/>
      <c r="O367" s="681"/>
      <c r="S367" s="550"/>
      <c r="T367" s="547"/>
      <c r="U367" s="547"/>
      <c r="V367" s="547"/>
      <c r="W367" s="549"/>
    </row>
    <row r="368" spans="1:23">
      <c r="A368" s="565">
        <v>1062</v>
      </c>
      <c r="B368" s="695" t="s">
        <v>5775</v>
      </c>
      <c r="C368" s="566">
        <f t="shared" si="5"/>
        <v>1062</v>
      </c>
      <c r="D368" s="699" t="s">
        <v>2219</v>
      </c>
      <c r="E368" s="701" t="s">
        <v>8248</v>
      </c>
      <c r="F368" s="567">
        <v>1</v>
      </c>
      <c r="G368" s="662">
        <v>0</v>
      </c>
      <c r="H368" s="662">
        <v>0</v>
      </c>
      <c r="I368" s="662">
        <v>37198.554909237871</v>
      </c>
      <c r="J368" s="662">
        <v>38132.053050141192</v>
      </c>
      <c r="K368" s="568" t="s">
        <v>3938</v>
      </c>
      <c r="L368" s="549"/>
      <c r="M368" s="664"/>
      <c r="O368" s="681"/>
      <c r="S368" s="550"/>
      <c r="T368" s="547"/>
      <c r="U368" s="547"/>
      <c r="V368" s="547"/>
      <c r="W368" s="549"/>
    </row>
    <row r="369" spans="1:23">
      <c r="A369" s="565">
        <v>1063</v>
      </c>
      <c r="B369" s="696" t="s">
        <v>5776</v>
      </c>
      <c r="C369" s="566">
        <f t="shared" si="5"/>
        <v>1063</v>
      </c>
      <c r="D369" s="700" t="s">
        <v>2219</v>
      </c>
      <c r="E369" s="701" t="s">
        <v>8249</v>
      </c>
      <c r="F369" s="566">
        <v>1</v>
      </c>
      <c r="G369" s="662">
        <v>0</v>
      </c>
      <c r="H369" s="662">
        <v>0</v>
      </c>
      <c r="I369" s="662">
        <v>53612.538742564953</v>
      </c>
      <c r="J369" s="662">
        <v>54911.37615911365</v>
      </c>
      <c r="K369" s="566" t="s">
        <v>3939</v>
      </c>
      <c r="L369" s="549"/>
      <c r="M369" s="664"/>
      <c r="O369" s="681"/>
      <c r="S369" s="550"/>
      <c r="T369" s="547"/>
      <c r="U369" s="547"/>
      <c r="V369" s="547"/>
      <c r="W369" s="549"/>
    </row>
    <row r="370" spans="1:23">
      <c r="A370" s="565">
        <v>1064</v>
      </c>
      <c r="B370" s="696" t="s">
        <v>5777</v>
      </c>
      <c r="C370" s="566">
        <f t="shared" si="5"/>
        <v>1064</v>
      </c>
      <c r="D370" s="700" t="s">
        <v>2219</v>
      </c>
      <c r="E370" s="701" t="s">
        <v>8250</v>
      </c>
      <c r="F370" s="566">
        <v>1</v>
      </c>
      <c r="G370" s="662">
        <v>49779.621673004891</v>
      </c>
      <c r="H370" s="662">
        <v>0</v>
      </c>
      <c r="I370" s="662">
        <v>0</v>
      </c>
      <c r="J370" s="662">
        <v>0</v>
      </c>
      <c r="K370" s="566" t="s">
        <v>5210</v>
      </c>
      <c r="L370" s="549"/>
      <c r="M370" s="664"/>
      <c r="O370" s="681"/>
      <c r="S370" s="550"/>
      <c r="T370" s="547"/>
      <c r="U370" s="547"/>
      <c r="V370" s="547"/>
      <c r="W370" s="549"/>
    </row>
    <row r="371" spans="1:23">
      <c r="A371" s="565">
        <v>1065</v>
      </c>
      <c r="B371" s="696" t="s">
        <v>5778</v>
      </c>
      <c r="C371" s="566">
        <f t="shared" si="5"/>
        <v>1065</v>
      </c>
      <c r="D371" s="700" t="s">
        <v>2219</v>
      </c>
      <c r="E371" s="701" t="s">
        <v>8251</v>
      </c>
      <c r="F371" s="566">
        <v>1</v>
      </c>
      <c r="G371" s="662">
        <v>48126.345001526468</v>
      </c>
      <c r="H371" s="662">
        <v>0</v>
      </c>
      <c r="I371" s="662">
        <v>0</v>
      </c>
      <c r="J371" s="662">
        <v>0</v>
      </c>
      <c r="K371" s="566" t="s">
        <v>5211</v>
      </c>
      <c r="L371" s="549"/>
      <c r="M371" s="664"/>
      <c r="O371" s="681"/>
      <c r="S371" s="550"/>
      <c r="T371" s="547"/>
      <c r="U371" s="547"/>
      <c r="V371" s="547"/>
      <c r="W371" s="549"/>
    </row>
    <row r="372" spans="1:23">
      <c r="A372" s="565">
        <v>1066</v>
      </c>
      <c r="B372" s="695" t="s">
        <v>5779</v>
      </c>
      <c r="C372" s="566">
        <f t="shared" si="5"/>
        <v>1066</v>
      </c>
      <c r="D372" s="699" t="s">
        <v>2219</v>
      </c>
      <c r="E372" s="701" t="s">
        <v>8252</v>
      </c>
      <c r="F372" s="567">
        <v>1</v>
      </c>
      <c r="G372" s="662">
        <v>45370.883882395749</v>
      </c>
      <c r="H372" s="662">
        <v>46521.89212526023</v>
      </c>
      <c r="I372" s="662">
        <v>0</v>
      </c>
      <c r="J372" s="662">
        <v>0</v>
      </c>
      <c r="K372" s="568" t="s">
        <v>3019</v>
      </c>
      <c r="L372" s="549"/>
      <c r="M372" s="664"/>
      <c r="O372" s="681"/>
      <c r="S372" s="550"/>
      <c r="T372" s="547"/>
      <c r="U372" s="547"/>
      <c r="V372" s="547"/>
      <c r="W372" s="549"/>
    </row>
    <row r="373" spans="1:23">
      <c r="A373" s="565">
        <v>1067</v>
      </c>
      <c r="B373" s="696" t="s">
        <v>5780</v>
      </c>
      <c r="C373" s="566">
        <f t="shared" si="5"/>
        <v>1067</v>
      </c>
      <c r="D373" s="700" t="s">
        <v>2219</v>
      </c>
      <c r="E373" s="701" t="s">
        <v>8253</v>
      </c>
      <c r="F373" s="566">
        <v>1</v>
      </c>
      <c r="G373" s="662">
        <v>0</v>
      </c>
      <c r="H373" s="662">
        <v>0</v>
      </c>
      <c r="I373" s="662">
        <v>36842.461575439193</v>
      </c>
      <c r="J373" s="662">
        <v>37811.790234265725</v>
      </c>
      <c r="K373" s="566" t="s">
        <v>998</v>
      </c>
      <c r="L373" s="549"/>
      <c r="M373" s="656"/>
      <c r="O373" s="681"/>
      <c r="S373" s="550"/>
      <c r="T373" s="547"/>
      <c r="U373" s="547"/>
      <c r="V373" s="547"/>
      <c r="W373" s="549"/>
    </row>
    <row r="374" spans="1:23">
      <c r="A374" s="565">
        <v>1068</v>
      </c>
      <c r="B374" s="696" t="s">
        <v>5781</v>
      </c>
      <c r="C374" s="566">
        <f t="shared" si="5"/>
        <v>1068</v>
      </c>
      <c r="D374" s="700" t="s">
        <v>2219</v>
      </c>
      <c r="E374" s="701" t="s">
        <v>8254</v>
      </c>
      <c r="F374" s="566">
        <v>1</v>
      </c>
      <c r="G374" s="662">
        <v>43717.607210917311</v>
      </c>
      <c r="H374" s="662">
        <v>44824.487342234279</v>
      </c>
      <c r="I374" s="662">
        <v>0</v>
      </c>
      <c r="J374" s="662">
        <v>0</v>
      </c>
      <c r="K374" s="566" t="s">
        <v>3020</v>
      </c>
      <c r="L374" s="549"/>
      <c r="M374" s="656"/>
      <c r="O374" s="681"/>
      <c r="S374" s="550"/>
      <c r="T374" s="547"/>
      <c r="U374" s="547"/>
      <c r="V374" s="547"/>
      <c r="W374" s="549"/>
    </row>
    <row r="375" spans="1:23">
      <c r="A375" s="565">
        <v>1069</v>
      </c>
      <c r="B375" s="695" t="s">
        <v>5782</v>
      </c>
      <c r="C375" s="566">
        <f t="shared" si="5"/>
        <v>1069</v>
      </c>
      <c r="D375" s="699" t="s">
        <v>2219</v>
      </c>
      <c r="E375" s="701" t="s">
        <v>8255</v>
      </c>
      <c r="F375" s="567">
        <v>1</v>
      </c>
      <c r="G375" s="662">
        <v>0</v>
      </c>
      <c r="H375" s="662">
        <v>0</v>
      </c>
      <c r="I375" s="662">
        <v>48931.598160632464</v>
      </c>
      <c r="J375" s="662">
        <v>50114.042968432732</v>
      </c>
      <c r="K375" s="568" t="s">
        <v>3940</v>
      </c>
      <c r="L375" s="549"/>
      <c r="M375" s="656"/>
      <c r="O375" s="681"/>
      <c r="S375" s="550"/>
      <c r="T375" s="547"/>
      <c r="U375" s="547"/>
      <c r="V375" s="547"/>
      <c r="W375" s="549"/>
    </row>
    <row r="376" spans="1:23">
      <c r="A376" s="565">
        <v>1070</v>
      </c>
      <c r="B376" s="696" t="s">
        <v>5783</v>
      </c>
      <c r="C376" s="566">
        <f t="shared" si="5"/>
        <v>1070</v>
      </c>
      <c r="D376" s="700" t="s">
        <v>2219</v>
      </c>
      <c r="E376" s="701" t="s">
        <v>8256</v>
      </c>
      <c r="F376" s="566">
        <v>1</v>
      </c>
      <c r="G376" s="662">
        <v>0</v>
      </c>
      <c r="H376" s="662">
        <v>0</v>
      </c>
      <c r="I376" s="662">
        <v>50768.572240052941</v>
      </c>
      <c r="J376" s="662">
        <v>51997.464713982081</v>
      </c>
      <c r="K376" s="566" t="s">
        <v>3941</v>
      </c>
      <c r="L376" s="549"/>
      <c r="M376" s="652"/>
      <c r="O376" s="681"/>
      <c r="S376" s="550"/>
      <c r="T376" s="547"/>
      <c r="U376" s="547"/>
      <c r="V376" s="547"/>
      <c r="W376" s="549"/>
    </row>
    <row r="377" spans="1:23">
      <c r="A377" s="565">
        <v>1071</v>
      </c>
      <c r="B377" s="696" t="s">
        <v>5784</v>
      </c>
      <c r="C377" s="566">
        <f t="shared" si="5"/>
        <v>1071</v>
      </c>
      <c r="D377" s="700" t="s">
        <v>2219</v>
      </c>
      <c r="E377" s="701" t="s">
        <v>8257</v>
      </c>
      <c r="F377" s="566">
        <v>1</v>
      </c>
      <c r="G377" s="662">
        <v>44904.669738555123</v>
      </c>
      <c r="H377" s="662">
        <v>0</v>
      </c>
      <c r="I377" s="662">
        <v>0</v>
      </c>
      <c r="J377" s="662">
        <v>0</v>
      </c>
      <c r="K377" s="566" t="s">
        <v>5212</v>
      </c>
      <c r="L377" s="549"/>
      <c r="M377" s="652"/>
      <c r="O377" s="681"/>
      <c r="S377" s="550"/>
      <c r="T377" s="547"/>
      <c r="U377" s="547"/>
      <c r="V377" s="547"/>
      <c r="W377" s="549"/>
    </row>
    <row r="378" spans="1:23">
      <c r="A378" s="565">
        <v>1072</v>
      </c>
      <c r="B378" s="696" t="s">
        <v>5785</v>
      </c>
      <c r="C378" s="566">
        <f t="shared" si="5"/>
        <v>1072</v>
      </c>
      <c r="D378" s="700" t="s">
        <v>2219</v>
      </c>
      <c r="E378" s="701" t="s">
        <v>8258</v>
      </c>
      <c r="F378" s="566">
        <v>1</v>
      </c>
      <c r="G378" s="662">
        <v>43251.393067076686</v>
      </c>
      <c r="H378" s="662">
        <v>44287.234482069078</v>
      </c>
      <c r="I378" s="662">
        <v>45377.594858806711</v>
      </c>
      <c r="J378" s="662">
        <v>46525.340638723443</v>
      </c>
      <c r="K378" s="566" t="s">
        <v>3021</v>
      </c>
      <c r="L378" s="549"/>
      <c r="M378" s="652"/>
      <c r="O378" s="681"/>
      <c r="S378" s="550"/>
      <c r="T378" s="547"/>
      <c r="U378" s="547"/>
      <c r="V378" s="547"/>
      <c r="W378" s="549"/>
    </row>
    <row r="379" spans="1:23">
      <c r="A379" s="565">
        <v>1073</v>
      </c>
      <c r="B379" s="696" t="s">
        <v>5786</v>
      </c>
      <c r="C379" s="566">
        <f t="shared" si="5"/>
        <v>1073</v>
      </c>
      <c r="D379" s="700" t="s">
        <v>2219</v>
      </c>
      <c r="E379" s="701" t="s">
        <v>8259</v>
      </c>
      <c r="F379" s="566">
        <v>1</v>
      </c>
      <c r="G379" s="662">
        <v>0</v>
      </c>
      <c r="H379" s="662">
        <v>0</v>
      </c>
      <c r="I379" s="662">
        <v>48829.43551208618</v>
      </c>
      <c r="J379" s="662">
        <v>50006.336018692004</v>
      </c>
      <c r="K379" s="566" t="s">
        <v>3942</v>
      </c>
      <c r="L379" s="549"/>
      <c r="M379" s="652"/>
      <c r="O379" s="681"/>
      <c r="S379" s="550"/>
      <c r="T379" s="547"/>
      <c r="U379" s="547"/>
      <c r="V379" s="547"/>
      <c r="W379" s="549"/>
    </row>
    <row r="380" spans="1:23">
      <c r="A380" s="565">
        <v>1074</v>
      </c>
      <c r="B380" s="695" t="s">
        <v>5787</v>
      </c>
      <c r="C380" s="566">
        <f t="shared" si="5"/>
        <v>1074</v>
      </c>
      <c r="D380" s="699" t="s">
        <v>2219</v>
      </c>
      <c r="E380" s="701" t="s">
        <v>8260</v>
      </c>
      <c r="F380" s="567">
        <v>1</v>
      </c>
      <c r="G380" s="662">
        <v>0</v>
      </c>
      <c r="H380" s="662">
        <v>88031.905500708119</v>
      </c>
      <c r="I380" s="662">
        <v>0</v>
      </c>
      <c r="J380" s="662">
        <v>0</v>
      </c>
      <c r="K380" s="568" t="s">
        <v>3022</v>
      </c>
      <c r="L380" s="549"/>
      <c r="M380" s="652"/>
      <c r="O380" s="681"/>
      <c r="S380" s="550"/>
      <c r="T380" s="547"/>
      <c r="U380" s="547"/>
      <c r="V380" s="547"/>
      <c r="W380" s="549"/>
    </row>
    <row r="381" spans="1:23">
      <c r="A381" s="565">
        <v>1075</v>
      </c>
      <c r="B381" s="696" t="s">
        <v>5788</v>
      </c>
      <c r="C381" s="566">
        <f t="shared" si="5"/>
        <v>1075</v>
      </c>
      <c r="D381" s="700" t="s">
        <v>2219</v>
      </c>
      <c r="E381" s="701" t="s">
        <v>8261</v>
      </c>
      <c r="F381" s="566">
        <v>1</v>
      </c>
      <c r="G381" s="662">
        <v>0</v>
      </c>
      <c r="H381" s="662">
        <v>0</v>
      </c>
      <c r="I381" s="662">
        <v>0</v>
      </c>
      <c r="J381" s="662">
        <v>112177.08705490091</v>
      </c>
      <c r="K381" s="566" t="s">
        <v>4662</v>
      </c>
      <c r="L381" s="549"/>
      <c r="M381" s="652"/>
      <c r="O381" s="681"/>
      <c r="S381" s="550"/>
      <c r="T381" s="547"/>
      <c r="U381" s="547"/>
      <c r="V381" s="547"/>
      <c r="W381" s="549"/>
    </row>
    <row r="382" spans="1:23">
      <c r="A382" s="565">
        <v>1076</v>
      </c>
      <c r="B382" s="695" t="s">
        <v>5789</v>
      </c>
      <c r="C382" s="566">
        <f t="shared" si="5"/>
        <v>1076</v>
      </c>
      <c r="D382" s="699" t="s">
        <v>2219</v>
      </c>
      <c r="E382" s="701" t="s">
        <v>8262</v>
      </c>
      <c r="F382" s="567">
        <v>1</v>
      </c>
      <c r="G382" s="662">
        <v>0</v>
      </c>
      <c r="H382" s="662">
        <v>0</v>
      </c>
      <c r="I382" s="662">
        <v>75822.293933399633</v>
      </c>
      <c r="J382" s="662">
        <v>0</v>
      </c>
      <c r="K382" s="568" t="s">
        <v>3943</v>
      </c>
      <c r="L382" s="549"/>
      <c r="M382" s="652"/>
      <c r="O382" s="681"/>
      <c r="S382" s="550"/>
      <c r="T382" s="547"/>
      <c r="U382" s="547"/>
      <c r="V382" s="547"/>
      <c r="W382" s="549"/>
    </row>
    <row r="383" spans="1:23">
      <c r="A383" s="565">
        <v>1077</v>
      </c>
      <c r="B383" s="695" t="s">
        <v>5790</v>
      </c>
      <c r="C383" s="566">
        <f t="shared" si="5"/>
        <v>1077</v>
      </c>
      <c r="D383" s="699" t="s">
        <v>2219</v>
      </c>
      <c r="E383" s="701" t="s">
        <v>8263</v>
      </c>
      <c r="F383" s="567">
        <v>1</v>
      </c>
      <c r="G383" s="662">
        <v>0</v>
      </c>
      <c r="H383" s="662">
        <v>0</v>
      </c>
      <c r="I383" s="662">
        <v>0</v>
      </c>
      <c r="J383" s="662">
        <v>120243.56074021968</v>
      </c>
      <c r="K383" s="568" t="s">
        <v>4663</v>
      </c>
      <c r="L383" s="549"/>
      <c r="M383" s="652"/>
      <c r="O383" s="677"/>
      <c r="S383" s="550"/>
      <c r="T383" s="547"/>
      <c r="U383" s="547"/>
      <c r="V383" s="547"/>
      <c r="W383" s="549"/>
    </row>
    <row r="384" spans="1:23">
      <c r="A384" s="565">
        <v>1078</v>
      </c>
      <c r="B384" s="695" t="s">
        <v>5791</v>
      </c>
      <c r="C384" s="566">
        <f t="shared" si="5"/>
        <v>1078</v>
      </c>
      <c r="D384" s="699" t="s">
        <v>2219</v>
      </c>
      <c r="E384" s="701" t="s">
        <v>8264</v>
      </c>
      <c r="F384" s="567">
        <v>1</v>
      </c>
      <c r="G384" s="662">
        <v>0</v>
      </c>
      <c r="H384" s="662">
        <v>0</v>
      </c>
      <c r="I384" s="662">
        <v>27092.941679916778</v>
      </c>
      <c r="J384" s="662">
        <v>0</v>
      </c>
      <c r="K384" s="568" t="s">
        <v>4664</v>
      </c>
      <c r="L384" s="549"/>
      <c r="M384" s="652"/>
      <c r="O384" s="677"/>
      <c r="S384" s="550"/>
      <c r="T384" s="547"/>
      <c r="U384" s="547"/>
      <c r="V384" s="547"/>
      <c r="W384" s="549"/>
    </row>
    <row r="385" spans="1:23">
      <c r="A385" s="565">
        <v>1079</v>
      </c>
      <c r="B385" s="696" t="s">
        <v>5792</v>
      </c>
      <c r="C385" s="566">
        <f t="shared" si="5"/>
        <v>1079</v>
      </c>
      <c r="D385" s="700" t="s">
        <v>2219</v>
      </c>
      <c r="E385" s="701" t="s">
        <v>8265</v>
      </c>
      <c r="F385" s="566">
        <v>1</v>
      </c>
      <c r="G385" s="662">
        <v>0</v>
      </c>
      <c r="H385" s="662">
        <v>0</v>
      </c>
      <c r="I385" s="662">
        <v>25818.837869049257</v>
      </c>
      <c r="J385" s="662">
        <v>0</v>
      </c>
      <c r="K385" s="566" t="s">
        <v>4665</v>
      </c>
      <c r="L385" s="549"/>
      <c r="M385" s="652"/>
      <c r="O385" s="677"/>
      <c r="S385" s="550"/>
      <c r="T385" s="547"/>
      <c r="U385" s="547"/>
      <c r="V385" s="547"/>
      <c r="W385" s="549"/>
    </row>
    <row r="386" spans="1:23">
      <c r="A386" s="565">
        <v>1080</v>
      </c>
      <c r="B386" s="696" t="s">
        <v>5793</v>
      </c>
      <c r="C386" s="566">
        <f t="shared" si="5"/>
        <v>1080</v>
      </c>
      <c r="D386" s="700" t="s">
        <v>2219</v>
      </c>
      <c r="E386" s="701" t="s">
        <v>8266</v>
      </c>
      <c r="F386" s="566">
        <v>1</v>
      </c>
      <c r="G386" s="662">
        <v>0</v>
      </c>
      <c r="H386" s="662">
        <v>31440.751351815008</v>
      </c>
      <c r="I386" s="662">
        <v>32410.006865604977</v>
      </c>
      <c r="J386" s="662">
        <v>0</v>
      </c>
      <c r="K386" s="566" t="s">
        <v>4666</v>
      </c>
      <c r="L386" s="549"/>
      <c r="M386" s="652"/>
      <c r="O386" s="677"/>
      <c r="S386" s="550"/>
      <c r="T386" s="547"/>
      <c r="U386" s="547"/>
      <c r="V386" s="547"/>
      <c r="W386" s="549"/>
    </row>
    <row r="387" spans="1:23">
      <c r="A387" s="565">
        <v>1081</v>
      </c>
      <c r="B387" s="695" t="s">
        <v>5794</v>
      </c>
      <c r="C387" s="566">
        <f t="shared" si="5"/>
        <v>1081</v>
      </c>
      <c r="D387" s="699" t="s">
        <v>2219</v>
      </c>
      <c r="E387" s="701" t="s">
        <v>8267</v>
      </c>
      <c r="F387" s="567">
        <v>1</v>
      </c>
      <c r="G387" s="662">
        <v>0</v>
      </c>
      <c r="H387" s="662">
        <v>32963.192337517656</v>
      </c>
      <c r="I387" s="662">
        <v>33982.997191425311</v>
      </c>
      <c r="J387" s="662">
        <v>0</v>
      </c>
      <c r="K387" s="568" t="s">
        <v>4667</v>
      </c>
      <c r="L387" s="549"/>
      <c r="M387" s="652"/>
      <c r="O387" s="677"/>
      <c r="S387" s="550"/>
      <c r="T387" s="547"/>
      <c r="U387" s="547"/>
      <c r="V387" s="547"/>
      <c r="W387" s="549"/>
    </row>
    <row r="388" spans="1:23">
      <c r="A388" s="565">
        <v>1082</v>
      </c>
      <c r="B388" s="695" t="s">
        <v>5795</v>
      </c>
      <c r="C388" s="566">
        <f t="shared" si="5"/>
        <v>1082</v>
      </c>
      <c r="D388" s="699" t="s">
        <v>2219</v>
      </c>
      <c r="E388" s="701" t="s">
        <v>8268</v>
      </c>
      <c r="F388" s="567">
        <v>1</v>
      </c>
      <c r="G388" s="662">
        <v>0</v>
      </c>
      <c r="H388" s="662">
        <v>0</v>
      </c>
      <c r="I388" s="662">
        <v>27911.25453375882</v>
      </c>
      <c r="J388" s="662">
        <v>28779.355201379938</v>
      </c>
      <c r="K388" s="568" t="s">
        <v>3944</v>
      </c>
      <c r="L388" s="549"/>
      <c r="M388" s="652"/>
      <c r="O388" s="677"/>
      <c r="S388" s="550"/>
      <c r="T388" s="547"/>
      <c r="U388" s="547"/>
      <c r="V388" s="547"/>
      <c r="W388" s="549"/>
    </row>
    <row r="389" spans="1:23">
      <c r="A389" s="565">
        <v>1083</v>
      </c>
      <c r="B389" s="695" t="s">
        <v>5796</v>
      </c>
      <c r="C389" s="566">
        <f t="shared" si="5"/>
        <v>1083</v>
      </c>
      <c r="D389" s="699" t="s">
        <v>2219</v>
      </c>
      <c r="E389" s="701" t="s">
        <v>8269</v>
      </c>
      <c r="F389" s="567">
        <v>1</v>
      </c>
      <c r="G389" s="662">
        <v>24332.701542517556</v>
      </c>
      <c r="H389" s="662">
        <v>25121.271248353511</v>
      </c>
      <c r="I389" s="662">
        <v>25909.840954189476</v>
      </c>
      <c r="J389" s="662">
        <v>26739.917284855401</v>
      </c>
      <c r="K389" s="568" t="s">
        <v>999</v>
      </c>
      <c r="L389" s="549"/>
      <c r="M389" s="652"/>
      <c r="O389" s="677"/>
      <c r="S389" s="550"/>
      <c r="T389" s="547"/>
      <c r="U389" s="547"/>
      <c r="V389" s="547"/>
      <c r="W389" s="549"/>
    </row>
    <row r="390" spans="1:23">
      <c r="A390" s="565">
        <v>1084</v>
      </c>
      <c r="B390" s="695" t="s">
        <v>5797</v>
      </c>
      <c r="C390" s="566">
        <f t="shared" si="5"/>
        <v>1084</v>
      </c>
      <c r="D390" s="699" t="s">
        <v>2219</v>
      </c>
      <c r="E390" s="701" t="s">
        <v>8270</v>
      </c>
      <c r="F390" s="567">
        <v>1</v>
      </c>
      <c r="G390" s="662">
        <v>0</v>
      </c>
      <c r="H390" s="662">
        <v>0</v>
      </c>
      <c r="I390" s="662">
        <v>24640.291843996794</v>
      </c>
      <c r="J390" s="662">
        <v>25423.272573701168</v>
      </c>
      <c r="K390" s="568" t="s">
        <v>3945</v>
      </c>
      <c r="L390" s="549"/>
      <c r="M390" s="652"/>
      <c r="O390" s="677"/>
      <c r="S390" s="550"/>
      <c r="T390" s="547"/>
      <c r="U390" s="547"/>
      <c r="V390" s="547"/>
      <c r="W390" s="549"/>
    </row>
    <row r="391" spans="1:23">
      <c r="A391" s="565">
        <v>1085</v>
      </c>
      <c r="B391" s="695" t="s">
        <v>5798</v>
      </c>
      <c r="C391" s="566">
        <f t="shared" si="5"/>
        <v>1085</v>
      </c>
      <c r="D391" s="699" t="s">
        <v>2219</v>
      </c>
      <c r="E391" s="701" t="s">
        <v>8271</v>
      </c>
      <c r="F391" s="567">
        <v>1</v>
      </c>
      <c r="G391" s="662">
        <v>0</v>
      </c>
      <c r="H391" s="662">
        <v>0</v>
      </c>
      <c r="I391" s="662">
        <v>23366.18803312926</v>
      </c>
      <c r="J391" s="662">
        <v>24104.635264273275</v>
      </c>
      <c r="K391" s="568" t="s">
        <v>3946</v>
      </c>
      <c r="L391" s="549"/>
      <c r="M391" s="652"/>
      <c r="O391" s="677"/>
      <c r="S391" s="550"/>
      <c r="T391" s="547"/>
      <c r="U391" s="547"/>
      <c r="V391" s="547"/>
      <c r="W391" s="549"/>
    </row>
    <row r="392" spans="1:23">
      <c r="A392" s="565">
        <v>1086</v>
      </c>
      <c r="B392" s="696" t="s">
        <v>5799</v>
      </c>
      <c r="C392" s="566">
        <f t="shared" si="5"/>
        <v>1086</v>
      </c>
      <c r="D392" s="700" t="s">
        <v>2219</v>
      </c>
      <c r="E392" s="701" t="s">
        <v>8272</v>
      </c>
      <c r="F392" s="566">
        <v>1</v>
      </c>
      <c r="G392" s="662">
        <v>0</v>
      </c>
      <c r="H392" s="662">
        <v>0</v>
      </c>
      <c r="I392" s="662">
        <v>28698.791185249225</v>
      </c>
      <c r="J392" s="662">
        <v>0</v>
      </c>
      <c r="K392" s="566" t="s">
        <v>4668</v>
      </c>
      <c r="L392" s="549"/>
      <c r="M392" s="577"/>
      <c r="O392" s="677"/>
      <c r="S392" s="550"/>
      <c r="T392" s="547"/>
      <c r="U392" s="547"/>
      <c r="V392" s="547"/>
      <c r="W392" s="549"/>
    </row>
    <row r="393" spans="1:23">
      <c r="A393" s="565">
        <v>1087</v>
      </c>
      <c r="B393" s="696" t="s">
        <v>5800</v>
      </c>
      <c r="C393" s="566">
        <f t="shared" ref="C393:C456" si="6">A393</f>
        <v>1087</v>
      </c>
      <c r="D393" s="700" t="s">
        <v>2219</v>
      </c>
      <c r="E393" s="701" t="s">
        <v>8273</v>
      </c>
      <c r="F393" s="566">
        <v>1</v>
      </c>
      <c r="G393" s="662">
        <v>0</v>
      </c>
      <c r="H393" s="662">
        <v>0</v>
      </c>
      <c r="I393" s="662">
        <v>0</v>
      </c>
      <c r="J393" s="662">
        <v>24544.734058181726</v>
      </c>
      <c r="K393" s="566" t="s">
        <v>4669</v>
      </c>
      <c r="L393" s="549"/>
      <c r="M393" s="577"/>
      <c r="O393" s="677"/>
      <c r="S393" s="550"/>
      <c r="T393" s="547"/>
      <c r="U393" s="547"/>
      <c r="V393" s="547"/>
      <c r="W393" s="549"/>
    </row>
    <row r="394" spans="1:23">
      <c r="A394" s="565">
        <v>1088</v>
      </c>
      <c r="B394" s="696" t="s">
        <v>5801</v>
      </c>
      <c r="C394" s="566">
        <f t="shared" si="6"/>
        <v>1088</v>
      </c>
      <c r="D394" s="700" t="s">
        <v>2219</v>
      </c>
      <c r="E394" s="701" t="s">
        <v>8274</v>
      </c>
      <c r="F394" s="566">
        <v>1</v>
      </c>
      <c r="G394" s="662">
        <v>0</v>
      </c>
      <c r="H394" s="662">
        <v>0</v>
      </c>
      <c r="I394" s="662">
        <v>0</v>
      </c>
      <c r="J394" s="662">
        <v>23270.630247314202</v>
      </c>
      <c r="K394" s="566" t="s">
        <v>4670</v>
      </c>
      <c r="L394" s="549"/>
      <c r="M394" s="577"/>
      <c r="O394" s="677"/>
      <c r="S394" s="550"/>
      <c r="T394" s="547"/>
      <c r="U394" s="547"/>
      <c r="V394" s="547"/>
      <c r="W394" s="549"/>
    </row>
    <row r="395" spans="1:23">
      <c r="A395" s="565">
        <v>1089</v>
      </c>
      <c r="B395" s="695" t="s">
        <v>5802</v>
      </c>
      <c r="C395" s="566">
        <f t="shared" si="6"/>
        <v>1089</v>
      </c>
      <c r="D395" s="699" t="s">
        <v>2219</v>
      </c>
      <c r="E395" s="701" t="s">
        <v>8275</v>
      </c>
      <c r="F395" s="567">
        <v>1</v>
      </c>
      <c r="G395" s="662">
        <v>0</v>
      </c>
      <c r="H395" s="662">
        <v>0</v>
      </c>
      <c r="I395" s="662">
        <v>0</v>
      </c>
      <c r="J395" s="662">
        <v>21295.769340469531</v>
      </c>
      <c r="K395" s="568" t="s">
        <v>4671</v>
      </c>
      <c r="L395" s="549"/>
      <c r="M395" s="577"/>
      <c r="O395" s="677"/>
      <c r="S395" s="550"/>
      <c r="T395" s="547"/>
      <c r="U395" s="547"/>
      <c r="V395" s="547"/>
      <c r="W395" s="549"/>
    </row>
    <row r="396" spans="1:23">
      <c r="A396" s="565">
        <v>1090</v>
      </c>
      <c r="B396" s="695" t="s">
        <v>5803</v>
      </c>
      <c r="C396" s="566">
        <f t="shared" si="6"/>
        <v>1090</v>
      </c>
      <c r="D396" s="699" t="s">
        <v>2219</v>
      </c>
      <c r="E396" s="701" t="s">
        <v>8276</v>
      </c>
      <c r="F396" s="567">
        <v>1</v>
      </c>
      <c r="G396" s="662">
        <v>0</v>
      </c>
      <c r="H396" s="662">
        <v>0</v>
      </c>
      <c r="I396" s="662">
        <v>0</v>
      </c>
      <c r="J396" s="662">
        <v>20021.665529602007</v>
      </c>
      <c r="K396" s="568" t="s">
        <v>4672</v>
      </c>
      <c r="L396" s="549"/>
      <c r="M396" s="577"/>
      <c r="O396" s="677"/>
      <c r="S396" s="550"/>
      <c r="T396" s="547"/>
      <c r="U396" s="547"/>
      <c r="V396" s="547"/>
      <c r="W396" s="549"/>
    </row>
    <row r="397" spans="1:23">
      <c r="A397" s="565">
        <v>1091</v>
      </c>
      <c r="B397" s="695" t="s">
        <v>5804</v>
      </c>
      <c r="C397" s="566">
        <f t="shared" si="6"/>
        <v>1091</v>
      </c>
      <c r="D397" s="699" t="s">
        <v>2219</v>
      </c>
      <c r="E397" s="701" t="s">
        <v>8277</v>
      </c>
      <c r="F397" s="567">
        <v>1</v>
      </c>
      <c r="G397" s="662">
        <v>37878.122344448042</v>
      </c>
      <c r="H397" s="662">
        <v>39197.460121519733</v>
      </c>
      <c r="I397" s="662">
        <v>40447.320638896352</v>
      </c>
      <c r="J397" s="662">
        <v>0</v>
      </c>
      <c r="K397" s="568" t="s">
        <v>3023</v>
      </c>
      <c r="L397" s="549"/>
      <c r="M397" s="577"/>
      <c r="O397" s="677"/>
      <c r="S397" s="550"/>
      <c r="T397" s="547"/>
      <c r="U397" s="547"/>
      <c r="V397" s="547"/>
      <c r="W397" s="549"/>
    </row>
    <row r="398" spans="1:23">
      <c r="A398" s="565">
        <v>1092</v>
      </c>
      <c r="B398" s="696" t="s">
        <v>5805</v>
      </c>
      <c r="C398" s="566">
        <f t="shared" si="6"/>
        <v>1092</v>
      </c>
      <c r="D398" s="700" t="s">
        <v>2219</v>
      </c>
      <c r="E398" s="701" t="s">
        <v>8278</v>
      </c>
      <c r="F398" s="566">
        <v>1</v>
      </c>
      <c r="G398" s="662">
        <v>36342.365730154081</v>
      </c>
      <c r="H398" s="662">
        <v>37604.807416626645</v>
      </c>
      <c r="I398" s="662">
        <v>38800.860969744645</v>
      </c>
      <c r="J398" s="662">
        <v>0</v>
      </c>
      <c r="K398" s="566" t="s">
        <v>3024</v>
      </c>
      <c r="L398" s="549"/>
      <c r="M398" s="577"/>
      <c r="O398" s="677"/>
      <c r="S398" s="550"/>
      <c r="T398" s="547"/>
      <c r="U398" s="547"/>
      <c r="V398" s="547"/>
      <c r="W398" s="549"/>
    </row>
    <row r="399" spans="1:23">
      <c r="A399" s="565">
        <v>1093</v>
      </c>
      <c r="B399" s="696" t="s">
        <v>5806</v>
      </c>
      <c r="C399" s="566">
        <f t="shared" si="6"/>
        <v>1093</v>
      </c>
      <c r="D399" s="700" t="s">
        <v>2219</v>
      </c>
      <c r="E399" s="701" t="s">
        <v>8279</v>
      </c>
      <c r="F399" s="566">
        <v>1</v>
      </c>
      <c r="G399" s="662">
        <v>0</v>
      </c>
      <c r="H399" s="662">
        <v>0</v>
      </c>
      <c r="I399" s="662">
        <v>32683.988080802799</v>
      </c>
      <c r="J399" s="662">
        <v>33713.565807133207</v>
      </c>
      <c r="K399" s="566" t="s">
        <v>3947</v>
      </c>
      <c r="L399" s="549"/>
      <c r="M399" s="577"/>
      <c r="O399" s="677"/>
      <c r="S399" s="550"/>
      <c r="T399" s="547"/>
      <c r="U399" s="547"/>
      <c r="V399" s="547"/>
      <c r="W399" s="549"/>
    </row>
    <row r="400" spans="1:23">
      <c r="A400" s="565">
        <v>1094</v>
      </c>
      <c r="B400" s="696" t="s">
        <v>5807</v>
      </c>
      <c r="C400" s="566">
        <f t="shared" si="6"/>
        <v>1094</v>
      </c>
      <c r="D400" s="700" t="s">
        <v>2219</v>
      </c>
      <c r="E400" s="701" t="s">
        <v>8280</v>
      </c>
      <c r="F400" s="566">
        <v>1</v>
      </c>
      <c r="G400" s="662">
        <v>0</v>
      </c>
      <c r="H400" s="662">
        <v>0</v>
      </c>
      <c r="I400" s="662">
        <v>31110.997754982462</v>
      </c>
      <c r="J400" s="662">
        <v>32087.330176388907</v>
      </c>
      <c r="K400" s="566" t="s">
        <v>3948</v>
      </c>
      <c r="L400" s="549"/>
      <c r="M400" s="654"/>
      <c r="O400" s="677"/>
      <c r="S400" s="550"/>
      <c r="T400" s="547"/>
      <c r="U400" s="547"/>
      <c r="V400" s="547"/>
      <c r="W400" s="549"/>
    </row>
    <row r="401" spans="1:23">
      <c r="A401" s="565">
        <v>1095</v>
      </c>
      <c r="B401" s="696" t="s">
        <v>5808</v>
      </c>
      <c r="C401" s="566">
        <f t="shared" si="6"/>
        <v>1095</v>
      </c>
      <c r="D401" s="700" t="s">
        <v>2219</v>
      </c>
      <c r="E401" s="701" t="s">
        <v>8281</v>
      </c>
      <c r="F401" s="566">
        <v>1</v>
      </c>
      <c r="G401" s="662">
        <v>0</v>
      </c>
      <c r="H401" s="662">
        <v>18148.732927626741</v>
      </c>
      <c r="I401" s="662">
        <v>19940.230457886064</v>
      </c>
      <c r="J401" s="662">
        <v>20590.504183432735</v>
      </c>
      <c r="K401" s="566" t="s">
        <v>3025</v>
      </c>
      <c r="L401" s="549"/>
      <c r="M401" s="654"/>
      <c r="O401" s="677"/>
      <c r="S401" s="550"/>
      <c r="T401" s="547"/>
      <c r="U401" s="547"/>
      <c r="V401" s="547"/>
      <c r="W401" s="549"/>
    </row>
    <row r="402" spans="1:23">
      <c r="A402" s="565">
        <v>1096</v>
      </c>
      <c r="B402" s="696" t="s">
        <v>5809</v>
      </c>
      <c r="C402" s="566">
        <f t="shared" si="6"/>
        <v>1096</v>
      </c>
      <c r="D402" s="700" t="s">
        <v>2219</v>
      </c>
      <c r="E402" s="701" t="s">
        <v>8282</v>
      </c>
      <c r="F402" s="566">
        <v>1</v>
      </c>
      <c r="G402" s="662">
        <v>0</v>
      </c>
      <c r="H402" s="662">
        <v>17633.546838465943</v>
      </c>
      <c r="I402" s="662">
        <v>18728.450161571465</v>
      </c>
      <c r="J402" s="662">
        <v>19304.705168286022</v>
      </c>
      <c r="K402" s="566" t="s">
        <v>3949</v>
      </c>
      <c r="L402" s="549"/>
      <c r="M402" s="654"/>
      <c r="O402" s="674"/>
      <c r="S402" s="550"/>
      <c r="T402" s="547"/>
      <c r="U402" s="547"/>
      <c r="V402" s="547"/>
      <c r="W402" s="549"/>
    </row>
    <row r="403" spans="1:23">
      <c r="A403" s="565">
        <v>1097</v>
      </c>
      <c r="B403" s="696" t="s">
        <v>5810</v>
      </c>
      <c r="C403" s="566">
        <f t="shared" si="6"/>
        <v>1097</v>
      </c>
      <c r="D403" s="700" t="s">
        <v>2219</v>
      </c>
      <c r="E403" s="701" t="s">
        <v>8283</v>
      </c>
      <c r="F403" s="566">
        <v>1</v>
      </c>
      <c r="G403" s="662">
        <v>0</v>
      </c>
      <c r="H403" s="662">
        <v>0</v>
      </c>
      <c r="I403" s="662">
        <v>0</v>
      </c>
      <c r="J403" s="662">
        <v>27666.288394807165</v>
      </c>
      <c r="K403" s="566" t="s">
        <v>4673</v>
      </c>
      <c r="L403" s="549"/>
      <c r="M403" s="654"/>
      <c r="O403" s="674"/>
      <c r="S403" s="550"/>
      <c r="T403" s="547"/>
      <c r="U403" s="547"/>
      <c r="V403" s="547"/>
      <c r="W403" s="549"/>
    </row>
    <row r="404" spans="1:23">
      <c r="A404" s="565">
        <v>1098</v>
      </c>
      <c r="B404" s="696" t="s">
        <v>5811</v>
      </c>
      <c r="C404" s="566">
        <f t="shared" si="6"/>
        <v>1098</v>
      </c>
      <c r="D404" s="700" t="s">
        <v>2219</v>
      </c>
      <c r="E404" s="701" t="s">
        <v>8284</v>
      </c>
      <c r="F404" s="566">
        <v>1</v>
      </c>
      <c r="G404" s="662">
        <v>0</v>
      </c>
      <c r="H404" s="662">
        <v>0</v>
      </c>
      <c r="I404" s="662">
        <v>0</v>
      </c>
      <c r="J404" s="662">
        <v>26392.184583939641</v>
      </c>
      <c r="K404" s="566" t="s">
        <v>4674</v>
      </c>
      <c r="L404" s="549"/>
      <c r="M404" s="654"/>
      <c r="O404" s="674"/>
      <c r="S404" s="550"/>
      <c r="T404" s="547"/>
      <c r="U404" s="547"/>
      <c r="V404" s="547"/>
      <c r="W404" s="549"/>
    </row>
    <row r="405" spans="1:23">
      <c r="A405" s="565">
        <v>1099</v>
      </c>
      <c r="B405" s="695" t="s">
        <v>5812</v>
      </c>
      <c r="C405" s="566">
        <f t="shared" si="6"/>
        <v>1099</v>
      </c>
      <c r="D405" s="699" t="s">
        <v>2219</v>
      </c>
      <c r="E405" s="701" t="s">
        <v>8285</v>
      </c>
      <c r="F405" s="567">
        <v>1</v>
      </c>
      <c r="G405" s="662">
        <v>28143.331534565685</v>
      </c>
      <c r="H405" s="662">
        <v>29067.092642249725</v>
      </c>
      <c r="I405" s="662">
        <v>0</v>
      </c>
      <c r="J405" s="662">
        <v>0</v>
      </c>
      <c r="K405" s="568" t="s">
        <v>1000</v>
      </c>
      <c r="L405" s="549"/>
      <c r="M405" s="654"/>
      <c r="O405" s="674"/>
      <c r="S405" s="550"/>
      <c r="T405" s="547"/>
      <c r="U405" s="547"/>
      <c r="V405" s="547"/>
      <c r="W405" s="549"/>
    </row>
    <row r="406" spans="1:23">
      <c r="A406" s="565">
        <v>1100</v>
      </c>
      <c r="B406" s="696" t="s">
        <v>5813</v>
      </c>
      <c r="C406" s="566">
        <f t="shared" si="6"/>
        <v>1100</v>
      </c>
      <c r="D406" s="700" t="s">
        <v>2219</v>
      </c>
      <c r="E406" s="701" t="s">
        <v>8286</v>
      </c>
      <c r="F406" s="566">
        <v>1</v>
      </c>
      <c r="G406" s="662">
        <v>23221.752056755558</v>
      </c>
      <c r="H406" s="662">
        <v>0</v>
      </c>
      <c r="I406" s="662">
        <v>24732.054007605198</v>
      </c>
      <c r="J406" s="662">
        <v>0</v>
      </c>
      <c r="K406" s="566" t="s">
        <v>1001</v>
      </c>
      <c r="L406" s="549"/>
      <c r="M406" s="654"/>
      <c r="O406" s="674"/>
      <c r="S406" s="550"/>
      <c r="T406" s="547"/>
      <c r="U406" s="547"/>
      <c r="V406" s="547"/>
      <c r="W406" s="549"/>
    </row>
    <row r="407" spans="1:23">
      <c r="A407" s="565">
        <v>1101</v>
      </c>
      <c r="B407" s="695" t="s">
        <v>5814</v>
      </c>
      <c r="C407" s="566">
        <f t="shared" si="6"/>
        <v>1101</v>
      </c>
      <c r="D407" s="699" t="s">
        <v>2219</v>
      </c>
      <c r="E407" s="701" t="s">
        <v>8287</v>
      </c>
      <c r="F407" s="567">
        <v>1</v>
      </c>
      <c r="G407" s="662">
        <v>0</v>
      </c>
      <c r="H407" s="662">
        <v>26681.318684710332</v>
      </c>
      <c r="I407" s="662">
        <v>28359.556776617614</v>
      </c>
      <c r="J407" s="662">
        <v>0</v>
      </c>
      <c r="K407" s="568" t="s">
        <v>4675</v>
      </c>
      <c r="L407" s="549"/>
      <c r="M407" s="654"/>
      <c r="O407" s="674"/>
      <c r="S407" s="550"/>
      <c r="T407" s="547"/>
      <c r="U407" s="547"/>
      <c r="V407" s="547"/>
      <c r="W407" s="549"/>
    </row>
    <row r="408" spans="1:23">
      <c r="A408" s="565">
        <v>1102</v>
      </c>
      <c r="B408" s="696" t="s">
        <v>5815</v>
      </c>
      <c r="C408" s="566">
        <f t="shared" si="6"/>
        <v>1102</v>
      </c>
      <c r="D408" s="700" t="s">
        <v>2219</v>
      </c>
      <c r="E408" s="701" t="s">
        <v>8288</v>
      </c>
      <c r="F408" s="566">
        <v>1</v>
      </c>
      <c r="G408" s="662">
        <v>0</v>
      </c>
      <c r="H408" s="662">
        <v>25798.183697359349</v>
      </c>
      <c r="I408" s="662">
        <v>27415.762581125404</v>
      </c>
      <c r="J408" s="662">
        <v>0</v>
      </c>
      <c r="K408" s="566" t="s">
        <v>4676</v>
      </c>
      <c r="L408" s="549"/>
      <c r="M408" s="654"/>
      <c r="O408" s="674"/>
      <c r="S408" s="550"/>
      <c r="T408" s="547"/>
      <c r="U408" s="547"/>
      <c r="V408" s="547"/>
      <c r="W408" s="549"/>
    </row>
    <row r="409" spans="1:23">
      <c r="A409" s="565">
        <v>1103</v>
      </c>
      <c r="B409" s="695" t="s">
        <v>5816</v>
      </c>
      <c r="C409" s="566">
        <f t="shared" si="6"/>
        <v>1103</v>
      </c>
      <c r="D409" s="699" t="s">
        <v>2219</v>
      </c>
      <c r="E409" s="701" t="s">
        <v>8289</v>
      </c>
      <c r="F409" s="567">
        <v>1</v>
      </c>
      <c r="G409" s="662">
        <v>23919.501282714278</v>
      </c>
      <c r="H409" s="662">
        <v>24703.563607420645</v>
      </c>
      <c r="I409" s="662">
        <v>25528.914645681387</v>
      </c>
      <c r="J409" s="662">
        <v>26397.717587500501</v>
      </c>
      <c r="K409" s="568" t="s">
        <v>1002</v>
      </c>
      <c r="L409" s="549"/>
      <c r="M409" s="654"/>
      <c r="O409" s="674"/>
      <c r="S409" s="550"/>
      <c r="T409" s="547"/>
      <c r="U409" s="547"/>
      <c r="V409" s="547"/>
      <c r="W409" s="549"/>
    </row>
    <row r="410" spans="1:23">
      <c r="A410" s="565">
        <v>1104</v>
      </c>
      <c r="B410" s="695" t="s">
        <v>5817</v>
      </c>
      <c r="C410" s="566">
        <f t="shared" si="6"/>
        <v>1104</v>
      </c>
      <c r="D410" s="699" t="s">
        <v>2219</v>
      </c>
      <c r="E410" s="701" t="s">
        <v>8290</v>
      </c>
      <c r="F410" s="567">
        <v>1</v>
      </c>
      <c r="G410" s="662">
        <v>21128.463960364712</v>
      </c>
      <c r="H410" s="662">
        <v>21811.561742928414</v>
      </c>
      <c r="I410" s="662">
        <v>22530.634315775835</v>
      </c>
      <c r="J410" s="662">
        <v>23287.562713693053</v>
      </c>
      <c r="K410" s="568" t="s">
        <v>1003</v>
      </c>
      <c r="L410" s="549"/>
      <c r="M410" s="654"/>
      <c r="O410" s="674"/>
      <c r="S410" s="550"/>
      <c r="T410" s="547"/>
      <c r="U410" s="547"/>
      <c r="V410" s="547"/>
      <c r="W410" s="549"/>
    </row>
    <row r="411" spans="1:23">
      <c r="A411" s="565">
        <v>1105</v>
      </c>
      <c r="B411" s="695" t="s">
        <v>5818</v>
      </c>
      <c r="C411" s="566">
        <f t="shared" si="6"/>
        <v>1105</v>
      </c>
      <c r="D411" s="699" t="s">
        <v>2219</v>
      </c>
      <c r="E411" s="701" t="s">
        <v>8291</v>
      </c>
      <c r="F411" s="567">
        <v>1</v>
      </c>
      <c r="G411" s="662">
        <v>25626.529638524022</v>
      </c>
      <c r="H411" s="662">
        <v>26462.461497456454</v>
      </c>
      <c r="I411" s="662">
        <v>27342.36254451342</v>
      </c>
      <c r="J411" s="662">
        <v>28268.631099047165</v>
      </c>
      <c r="K411" s="568" t="s">
        <v>1004</v>
      </c>
      <c r="L411" s="549"/>
      <c r="M411" s="654"/>
      <c r="O411" s="674"/>
      <c r="S411" s="550"/>
      <c r="T411" s="547"/>
      <c r="U411" s="547"/>
      <c r="V411" s="547"/>
      <c r="W411" s="549"/>
    </row>
    <row r="412" spans="1:23">
      <c r="A412" s="565">
        <v>1106</v>
      </c>
      <c r="B412" s="695" t="s">
        <v>5819</v>
      </c>
      <c r="C412" s="566">
        <f t="shared" si="6"/>
        <v>1106</v>
      </c>
      <c r="D412" s="699" t="s">
        <v>2219</v>
      </c>
      <c r="E412" s="701" t="s">
        <v>8292</v>
      </c>
      <c r="F412" s="567">
        <v>1</v>
      </c>
      <c r="G412" s="662">
        <v>25838.038594712212</v>
      </c>
      <c r="H412" s="662">
        <v>26703.69080326465</v>
      </c>
      <c r="I412" s="662">
        <v>27614.864053640144</v>
      </c>
      <c r="J412" s="662">
        <v>28574.003691060581</v>
      </c>
      <c r="K412" s="568" t="s">
        <v>1005</v>
      </c>
      <c r="L412" s="549"/>
      <c r="M412" s="654"/>
      <c r="O412" s="674"/>
      <c r="S412" s="550"/>
      <c r="T412" s="547"/>
      <c r="U412" s="547"/>
      <c r="V412" s="547"/>
      <c r="W412" s="549"/>
    </row>
    <row r="413" spans="1:23">
      <c r="A413" s="565">
        <v>1107</v>
      </c>
      <c r="B413" s="695" t="s">
        <v>5820</v>
      </c>
      <c r="C413" s="566">
        <f t="shared" si="6"/>
        <v>1107</v>
      </c>
      <c r="D413" s="699" t="s">
        <v>2219</v>
      </c>
      <c r="E413" s="701" t="s">
        <v>8293</v>
      </c>
      <c r="F413" s="567">
        <v>1</v>
      </c>
      <c r="G413" s="662">
        <v>29810.629489596173</v>
      </c>
      <c r="H413" s="662">
        <v>30854.415692390055</v>
      </c>
      <c r="I413" s="662">
        <v>31953.128110937385</v>
      </c>
      <c r="J413" s="662">
        <v>33109.635323286908</v>
      </c>
      <c r="K413" s="568" t="s">
        <v>1006</v>
      </c>
      <c r="L413" s="549"/>
      <c r="M413" s="654"/>
      <c r="O413" s="674"/>
      <c r="S413" s="550"/>
      <c r="T413" s="547"/>
      <c r="U413" s="547"/>
      <c r="V413" s="547"/>
      <c r="W413" s="549"/>
    </row>
    <row r="414" spans="1:23">
      <c r="A414" s="565">
        <v>1108</v>
      </c>
      <c r="B414" s="695" t="s">
        <v>5821</v>
      </c>
      <c r="C414" s="566">
        <f t="shared" si="6"/>
        <v>1108</v>
      </c>
      <c r="D414" s="699" t="s">
        <v>2219</v>
      </c>
      <c r="E414" s="701" t="s">
        <v>8294</v>
      </c>
      <c r="F414" s="567">
        <v>1</v>
      </c>
      <c r="G414" s="662">
        <v>26859.078019625609</v>
      </c>
      <c r="H414" s="662">
        <v>27777.540279797147</v>
      </c>
      <c r="I414" s="662">
        <v>0</v>
      </c>
      <c r="J414" s="662">
        <v>0</v>
      </c>
      <c r="K414" s="568" t="s">
        <v>1007</v>
      </c>
      <c r="L414" s="549"/>
      <c r="M414" s="654"/>
      <c r="O414" s="674"/>
      <c r="S414" s="550"/>
      <c r="T414" s="547"/>
      <c r="U414" s="547"/>
      <c r="V414" s="547"/>
      <c r="W414" s="549"/>
    </row>
    <row r="415" spans="1:23">
      <c r="A415" s="565">
        <v>1109</v>
      </c>
      <c r="B415" s="695" t="s">
        <v>5822</v>
      </c>
      <c r="C415" s="566">
        <f t="shared" si="6"/>
        <v>1109</v>
      </c>
      <c r="D415" s="699" t="s">
        <v>2219</v>
      </c>
      <c r="E415" s="701" t="s">
        <v>8295</v>
      </c>
      <c r="F415" s="567">
        <v>1</v>
      </c>
      <c r="G415" s="662">
        <v>0</v>
      </c>
      <c r="H415" s="662">
        <v>0</v>
      </c>
      <c r="I415" s="662">
        <v>34724.453054841106</v>
      </c>
      <c r="J415" s="662">
        <v>35880.442982624467</v>
      </c>
      <c r="K415" s="568" t="s">
        <v>3950</v>
      </c>
      <c r="L415" s="549"/>
      <c r="M415" s="654"/>
      <c r="O415" s="674"/>
      <c r="S415" s="550"/>
      <c r="T415" s="547"/>
      <c r="U415" s="547"/>
      <c r="V415" s="547"/>
      <c r="W415" s="549"/>
    </row>
    <row r="416" spans="1:23">
      <c r="A416" s="565">
        <v>1110</v>
      </c>
      <c r="B416" s="695" t="s">
        <v>5823</v>
      </c>
      <c r="C416" s="566">
        <f t="shared" si="6"/>
        <v>1110</v>
      </c>
      <c r="D416" s="699" t="s">
        <v>2219</v>
      </c>
      <c r="E416" s="701" t="s">
        <v>8296</v>
      </c>
      <c r="F416" s="567">
        <v>1</v>
      </c>
      <c r="G416" s="662">
        <v>29998.628982368708</v>
      </c>
      <c r="H416" s="662">
        <v>0</v>
      </c>
      <c r="I416" s="662">
        <v>0</v>
      </c>
      <c r="J416" s="662">
        <v>0</v>
      </c>
      <c r="K416" s="568" t="s">
        <v>5213</v>
      </c>
      <c r="L416" s="549"/>
      <c r="M416" s="654"/>
      <c r="O416" s="674"/>
      <c r="S416" s="550"/>
      <c r="T416" s="547"/>
      <c r="U416" s="547"/>
      <c r="V416" s="547"/>
      <c r="W416" s="549"/>
    </row>
    <row r="417" spans="1:23">
      <c r="A417" s="565">
        <v>1111</v>
      </c>
      <c r="B417" s="695" t="s">
        <v>5824</v>
      </c>
      <c r="C417" s="566">
        <f t="shared" si="6"/>
        <v>1111</v>
      </c>
      <c r="D417" s="699" t="s">
        <v>2219</v>
      </c>
      <c r="E417" s="701" t="s">
        <v>8297</v>
      </c>
      <c r="F417" s="567">
        <v>1</v>
      </c>
      <c r="G417" s="662">
        <v>28890.158666913958</v>
      </c>
      <c r="H417" s="662">
        <v>29872.058825245927</v>
      </c>
      <c r="I417" s="662">
        <v>0</v>
      </c>
      <c r="J417" s="662">
        <v>0</v>
      </c>
      <c r="K417" s="568" t="s">
        <v>1008</v>
      </c>
      <c r="L417" s="549"/>
      <c r="M417" s="654"/>
      <c r="O417" s="674"/>
      <c r="S417" s="550"/>
      <c r="T417" s="547"/>
      <c r="U417" s="547"/>
      <c r="V417" s="547"/>
      <c r="W417" s="549"/>
    </row>
    <row r="418" spans="1:23">
      <c r="A418" s="565">
        <v>1112</v>
      </c>
      <c r="B418" s="695" t="s">
        <v>5825</v>
      </c>
      <c r="C418" s="566">
        <f t="shared" si="6"/>
        <v>1112</v>
      </c>
      <c r="D418" s="699" t="s">
        <v>2219</v>
      </c>
      <c r="E418" s="701" t="s">
        <v>8298</v>
      </c>
      <c r="F418" s="567">
        <v>1</v>
      </c>
      <c r="G418" s="662">
        <v>27743.465237133187</v>
      </c>
      <c r="H418" s="662">
        <v>0</v>
      </c>
      <c r="I418" s="662">
        <v>0</v>
      </c>
      <c r="J418" s="662">
        <v>0</v>
      </c>
      <c r="K418" s="568" t="s">
        <v>5214</v>
      </c>
      <c r="L418" s="549"/>
      <c r="M418" s="654"/>
      <c r="O418" s="674"/>
      <c r="S418" s="550"/>
      <c r="T418" s="547"/>
      <c r="U418" s="547"/>
      <c r="V418" s="547"/>
      <c r="W418" s="549"/>
    </row>
    <row r="419" spans="1:23">
      <c r="A419" s="565">
        <v>1113</v>
      </c>
      <c r="B419" s="696" t="s">
        <v>5826</v>
      </c>
      <c r="C419" s="566">
        <f t="shared" si="6"/>
        <v>1113</v>
      </c>
      <c r="D419" s="700" t="s">
        <v>2219</v>
      </c>
      <c r="E419" s="701" t="s">
        <v>8299</v>
      </c>
      <c r="F419" s="566">
        <v>1</v>
      </c>
      <c r="G419" s="662">
        <v>31336.437983779604</v>
      </c>
      <c r="H419" s="662">
        <v>0</v>
      </c>
      <c r="I419" s="662">
        <v>0</v>
      </c>
      <c r="J419" s="662">
        <v>0</v>
      </c>
      <c r="K419" s="566" t="s">
        <v>5215</v>
      </c>
      <c r="L419" s="549"/>
      <c r="M419" s="654"/>
      <c r="O419" s="674"/>
      <c r="S419" s="550"/>
      <c r="T419" s="547"/>
      <c r="U419" s="547"/>
      <c r="V419" s="547"/>
      <c r="W419" s="549"/>
    </row>
    <row r="420" spans="1:23">
      <c r="A420" s="565">
        <v>1114</v>
      </c>
      <c r="B420" s="696" t="s">
        <v>5827</v>
      </c>
      <c r="C420" s="566">
        <f t="shared" si="6"/>
        <v>1114</v>
      </c>
      <c r="D420" s="700" t="s">
        <v>2219</v>
      </c>
      <c r="E420" s="701" t="s">
        <v>8300</v>
      </c>
      <c r="F420" s="566">
        <v>1</v>
      </c>
      <c r="G420" s="662">
        <v>30189.744553998826</v>
      </c>
      <c r="H420" s="662">
        <v>0</v>
      </c>
      <c r="I420" s="662">
        <v>0</v>
      </c>
      <c r="J420" s="662">
        <v>0</v>
      </c>
      <c r="K420" s="566" t="s">
        <v>5216</v>
      </c>
      <c r="L420" s="549"/>
      <c r="M420" s="654"/>
      <c r="O420" s="674"/>
      <c r="S420" s="550"/>
      <c r="T420" s="547"/>
      <c r="U420" s="547"/>
      <c r="V420" s="547"/>
      <c r="W420" s="549"/>
    </row>
    <row r="421" spans="1:23">
      <c r="A421" s="565">
        <v>1115</v>
      </c>
      <c r="B421" s="696" t="s">
        <v>5828</v>
      </c>
      <c r="C421" s="566">
        <f t="shared" si="6"/>
        <v>1115</v>
      </c>
      <c r="D421" s="700" t="s">
        <v>2219</v>
      </c>
      <c r="E421" s="701" t="s">
        <v>8301</v>
      </c>
      <c r="F421" s="566">
        <v>1</v>
      </c>
      <c r="G421" s="662">
        <v>30466.567181479673</v>
      </c>
      <c r="H421" s="662">
        <v>0</v>
      </c>
      <c r="I421" s="662">
        <v>0</v>
      </c>
      <c r="J421" s="662">
        <v>0</v>
      </c>
      <c r="K421" s="566" t="s">
        <v>5217</v>
      </c>
      <c r="L421" s="549"/>
      <c r="M421" s="654"/>
      <c r="O421" s="674"/>
      <c r="S421" s="550"/>
      <c r="T421" s="547"/>
      <c r="U421" s="547"/>
      <c r="V421" s="547"/>
      <c r="W421" s="549"/>
    </row>
    <row r="422" spans="1:23">
      <c r="A422" s="565">
        <v>1116</v>
      </c>
      <c r="B422" s="696" t="s">
        <v>5829</v>
      </c>
      <c r="C422" s="566">
        <f t="shared" si="6"/>
        <v>1116</v>
      </c>
      <c r="D422" s="700" t="s">
        <v>2219</v>
      </c>
      <c r="E422" s="701" t="s">
        <v>8302</v>
      </c>
      <c r="F422" s="566">
        <v>1</v>
      </c>
      <c r="G422" s="662">
        <v>31336.437983779604</v>
      </c>
      <c r="H422" s="662">
        <v>0</v>
      </c>
      <c r="I422" s="662">
        <v>0</v>
      </c>
      <c r="J422" s="662">
        <v>0</v>
      </c>
      <c r="K422" s="566" t="s">
        <v>5218</v>
      </c>
      <c r="L422" s="549"/>
      <c r="M422" s="654"/>
      <c r="O422" s="674"/>
      <c r="S422" s="550"/>
      <c r="T422" s="547"/>
      <c r="U422" s="547"/>
      <c r="V422" s="547"/>
      <c r="W422" s="549"/>
    </row>
    <row r="423" spans="1:23">
      <c r="A423" s="565">
        <v>1117</v>
      </c>
      <c r="B423" s="696" t="s">
        <v>5830</v>
      </c>
      <c r="C423" s="566">
        <f t="shared" si="6"/>
        <v>1117</v>
      </c>
      <c r="D423" s="700" t="s">
        <v>2219</v>
      </c>
      <c r="E423" s="701" t="s">
        <v>8303</v>
      </c>
      <c r="F423" s="566">
        <v>1</v>
      </c>
      <c r="G423" s="662">
        <v>25908.755749483957</v>
      </c>
      <c r="H423" s="662">
        <v>0</v>
      </c>
      <c r="I423" s="662">
        <v>0</v>
      </c>
      <c r="J423" s="662">
        <v>0</v>
      </c>
      <c r="K423" s="566" t="s">
        <v>5219</v>
      </c>
      <c r="L423" s="549"/>
      <c r="M423" s="654"/>
      <c r="O423" s="674"/>
      <c r="S423" s="550"/>
      <c r="T423" s="547"/>
      <c r="U423" s="547"/>
      <c r="V423" s="547"/>
      <c r="W423" s="549"/>
    </row>
    <row r="424" spans="1:23">
      <c r="A424" s="565">
        <v>1118</v>
      </c>
      <c r="B424" s="696" t="s">
        <v>5831</v>
      </c>
      <c r="C424" s="566">
        <f t="shared" si="6"/>
        <v>1118</v>
      </c>
      <c r="D424" s="700" t="s">
        <v>2219</v>
      </c>
      <c r="E424" s="701" t="s">
        <v>8304</v>
      </c>
      <c r="F424" s="566">
        <v>1</v>
      </c>
      <c r="G424" s="662">
        <v>24762.062319703178</v>
      </c>
      <c r="H424" s="662">
        <v>0</v>
      </c>
      <c r="I424" s="662">
        <v>0</v>
      </c>
      <c r="J424" s="662">
        <v>0</v>
      </c>
      <c r="K424" s="566" t="s">
        <v>5220</v>
      </c>
      <c r="L424" s="549"/>
      <c r="M424" s="654"/>
      <c r="O424" s="674"/>
      <c r="S424" s="550"/>
      <c r="T424" s="547"/>
      <c r="U424" s="547"/>
      <c r="V424" s="547"/>
      <c r="W424" s="549"/>
    </row>
    <row r="425" spans="1:23">
      <c r="A425" s="565">
        <v>1119</v>
      </c>
      <c r="B425" s="696" t="s">
        <v>5832</v>
      </c>
      <c r="C425" s="566">
        <f t="shared" si="6"/>
        <v>1119</v>
      </c>
      <c r="D425" s="700" t="s">
        <v>2219</v>
      </c>
      <c r="E425" s="701" t="s">
        <v>8305</v>
      </c>
      <c r="F425" s="566">
        <v>1</v>
      </c>
      <c r="G425" s="662">
        <v>25913.587997089024</v>
      </c>
      <c r="H425" s="662">
        <v>26769.835031711078</v>
      </c>
      <c r="I425" s="662">
        <v>27671.132849459671</v>
      </c>
      <c r="J425" s="662">
        <v>28619.879769687032</v>
      </c>
      <c r="K425" s="566" t="s">
        <v>1009</v>
      </c>
      <c r="L425" s="549"/>
      <c r="M425" s="654"/>
      <c r="O425" s="674"/>
      <c r="S425" s="550"/>
      <c r="T425" s="547"/>
      <c r="U425" s="547"/>
      <c r="V425" s="547"/>
      <c r="W425" s="549"/>
    </row>
    <row r="426" spans="1:23">
      <c r="A426" s="565">
        <v>1120</v>
      </c>
      <c r="B426" s="696" t="s">
        <v>5833</v>
      </c>
      <c r="C426" s="566">
        <f t="shared" si="6"/>
        <v>1120</v>
      </c>
      <c r="D426" s="700" t="s">
        <v>2219</v>
      </c>
      <c r="E426" s="701" t="s">
        <v>8306</v>
      </c>
      <c r="F426" s="566">
        <v>1</v>
      </c>
      <c r="G426" s="662">
        <v>23772.594993655031</v>
      </c>
      <c r="H426" s="662">
        <v>24575.843873179372</v>
      </c>
      <c r="I426" s="662">
        <v>0</v>
      </c>
      <c r="J426" s="662">
        <v>0</v>
      </c>
      <c r="K426" s="566" t="s">
        <v>1010</v>
      </c>
      <c r="L426" s="549"/>
      <c r="M426" s="654"/>
      <c r="O426" s="674"/>
      <c r="S426" s="550"/>
      <c r="T426" s="547"/>
      <c r="U426" s="547"/>
      <c r="V426" s="547"/>
      <c r="W426" s="549"/>
    </row>
    <row r="427" spans="1:23">
      <c r="A427" s="565">
        <v>1121</v>
      </c>
      <c r="B427" s="696" t="s">
        <v>5834</v>
      </c>
      <c r="C427" s="566">
        <f t="shared" si="6"/>
        <v>1121</v>
      </c>
      <c r="D427" s="700" t="s">
        <v>2219</v>
      </c>
      <c r="E427" s="701" t="s">
        <v>8307</v>
      </c>
      <c r="F427" s="566">
        <v>1</v>
      </c>
      <c r="G427" s="662">
        <v>0</v>
      </c>
      <c r="H427" s="662">
        <v>30278.201207085578</v>
      </c>
      <c r="I427" s="662">
        <v>31258.314382370769</v>
      </c>
      <c r="J427" s="662">
        <v>32290.014936664124</v>
      </c>
      <c r="K427" s="566" t="s">
        <v>4677</v>
      </c>
      <c r="L427" s="549"/>
      <c r="M427" s="654"/>
      <c r="O427" s="674"/>
      <c r="S427" s="550"/>
      <c r="T427" s="547"/>
      <c r="U427" s="547"/>
      <c r="V427" s="547"/>
      <c r="W427" s="549"/>
    </row>
    <row r="428" spans="1:23">
      <c r="A428" s="565">
        <v>1122</v>
      </c>
      <c r="B428" s="696" t="s">
        <v>5835</v>
      </c>
      <c r="C428" s="566">
        <f t="shared" si="6"/>
        <v>1122</v>
      </c>
      <c r="D428" s="700" t="s">
        <v>2219</v>
      </c>
      <c r="E428" s="701" t="s">
        <v>8308</v>
      </c>
      <c r="F428" s="566">
        <v>1</v>
      </c>
      <c r="G428" s="662">
        <v>33427.32671817435</v>
      </c>
      <c r="H428" s="662">
        <v>34498.67008058427</v>
      </c>
      <c r="I428" s="662">
        <v>35626.350434837172</v>
      </c>
      <c r="J428" s="662">
        <v>36813.377436590788</v>
      </c>
      <c r="K428" s="566" t="s">
        <v>3026</v>
      </c>
      <c r="L428" s="549"/>
      <c r="M428" s="654"/>
      <c r="O428" s="674"/>
      <c r="S428" s="550"/>
      <c r="T428" s="547"/>
      <c r="U428" s="547"/>
      <c r="V428" s="547"/>
      <c r="W428" s="549"/>
    </row>
    <row r="429" spans="1:23">
      <c r="A429" s="565">
        <v>1123</v>
      </c>
      <c r="B429" s="695" t="s">
        <v>5836</v>
      </c>
      <c r="C429" s="566">
        <f t="shared" si="6"/>
        <v>1123</v>
      </c>
      <c r="D429" s="699" t="s">
        <v>2219</v>
      </c>
      <c r="E429" s="701" t="s">
        <v>8309</v>
      </c>
      <c r="F429" s="567">
        <v>1</v>
      </c>
      <c r="G429" s="662">
        <v>0</v>
      </c>
      <c r="H429" s="662">
        <v>0</v>
      </c>
      <c r="I429" s="662">
        <v>0</v>
      </c>
      <c r="J429" s="662">
        <v>39165.075287886582</v>
      </c>
      <c r="K429" s="568" t="s">
        <v>4678</v>
      </c>
      <c r="L429" s="549"/>
      <c r="M429" s="654"/>
      <c r="O429" s="674"/>
      <c r="S429" s="550"/>
      <c r="T429" s="547"/>
      <c r="U429" s="547"/>
      <c r="V429" s="547"/>
      <c r="W429" s="549"/>
    </row>
    <row r="430" spans="1:23">
      <c r="A430" s="565">
        <v>1124</v>
      </c>
      <c r="B430" s="695" t="s">
        <v>5837</v>
      </c>
      <c r="C430" s="566">
        <f t="shared" si="6"/>
        <v>1124</v>
      </c>
      <c r="D430" s="699" t="s">
        <v>2219</v>
      </c>
      <c r="E430" s="701" t="s">
        <v>8310</v>
      </c>
      <c r="F430" s="567">
        <v>1</v>
      </c>
      <c r="G430" s="662">
        <v>0</v>
      </c>
      <c r="H430" s="662">
        <v>0</v>
      </c>
      <c r="I430" s="662">
        <v>0</v>
      </c>
      <c r="J430" s="662">
        <v>37890.971477019055</v>
      </c>
      <c r="K430" s="568" t="s">
        <v>4679</v>
      </c>
      <c r="L430" s="549"/>
      <c r="M430" s="654"/>
      <c r="O430" s="674"/>
      <c r="S430" s="550"/>
      <c r="T430" s="547"/>
      <c r="U430" s="547"/>
      <c r="V430" s="547"/>
      <c r="W430" s="549"/>
    </row>
    <row r="431" spans="1:23">
      <c r="A431" s="565">
        <v>1125</v>
      </c>
      <c r="B431" s="696" t="s">
        <v>5838</v>
      </c>
      <c r="C431" s="566">
        <f t="shared" si="6"/>
        <v>1125</v>
      </c>
      <c r="D431" s="700" t="s">
        <v>2219</v>
      </c>
      <c r="E431" s="701" t="s">
        <v>8311</v>
      </c>
      <c r="F431" s="566">
        <v>1</v>
      </c>
      <c r="G431" s="662">
        <v>0</v>
      </c>
      <c r="H431" s="662">
        <v>0</v>
      </c>
      <c r="I431" s="662">
        <v>27787.32825683957</v>
      </c>
      <c r="J431" s="662">
        <v>28680.349521529417</v>
      </c>
      <c r="K431" s="566" t="s">
        <v>3951</v>
      </c>
      <c r="L431" s="549"/>
      <c r="M431" s="654"/>
      <c r="O431" s="674"/>
      <c r="S431" s="550"/>
      <c r="T431" s="547"/>
      <c r="U431" s="547"/>
      <c r="V431" s="547"/>
      <c r="W431" s="549"/>
    </row>
    <row r="432" spans="1:23">
      <c r="A432" s="565">
        <v>1126</v>
      </c>
      <c r="B432" s="696" t="s">
        <v>5839</v>
      </c>
      <c r="C432" s="566">
        <f t="shared" si="6"/>
        <v>1126</v>
      </c>
      <c r="D432" s="700" t="s">
        <v>2219</v>
      </c>
      <c r="E432" s="701" t="s">
        <v>8312</v>
      </c>
      <c r="F432" s="566">
        <v>1</v>
      </c>
      <c r="G432" s="662">
        <v>0</v>
      </c>
      <c r="H432" s="662">
        <v>24417.323677094973</v>
      </c>
      <c r="I432" s="662">
        <v>0</v>
      </c>
      <c r="J432" s="662">
        <v>0</v>
      </c>
      <c r="K432" s="566" t="s">
        <v>3027</v>
      </c>
      <c r="L432" s="549"/>
      <c r="M432" s="654"/>
      <c r="O432" s="674"/>
      <c r="S432" s="550"/>
      <c r="T432" s="547"/>
      <c r="U432" s="547"/>
      <c r="V432" s="547"/>
      <c r="W432" s="549"/>
    </row>
    <row r="433" spans="1:23">
      <c r="A433" s="565">
        <v>1127</v>
      </c>
      <c r="B433" s="696" t="s">
        <v>5840</v>
      </c>
      <c r="C433" s="566">
        <f t="shared" si="6"/>
        <v>1127</v>
      </c>
      <c r="D433" s="700" t="s">
        <v>2219</v>
      </c>
      <c r="E433" s="701" t="s">
        <v>8313</v>
      </c>
      <c r="F433" s="566">
        <v>1</v>
      </c>
      <c r="G433" s="662">
        <v>0</v>
      </c>
      <c r="H433" s="662">
        <v>0</v>
      </c>
      <c r="I433" s="662">
        <v>35738.554769167822</v>
      </c>
      <c r="J433" s="662">
        <v>36930.660564843834</v>
      </c>
      <c r="K433" s="566" t="s">
        <v>3952</v>
      </c>
      <c r="L433" s="549"/>
      <c r="M433" s="654"/>
      <c r="O433" s="674"/>
      <c r="S433" s="550"/>
      <c r="T433" s="547"/>
      <c r="U433" s="547"/>
      <c r="V433" s="547"/>
      <c r="W433" s="549"/>
    </row>
    <row r="434" spans="1:23">
      <c r="A434" s="565">
        <v>1128</v>
      </c>
      <c r="B434" s="696" t="s">
        <v>5841</v>
      </c>
      <c r="C434" s="566">
        <f t="shared" si="6"/>
        <v>1128</v>
      </c>
      <c r="D434" s="700" t="s">
        <v>2219</v>
      </c>
      <c r="E434" s="701" t="s">
        <v>8314</v>
      </c>
      <c r="F434" s="566">
        <v>1</v>
      </c>
      <c r="G434" s="662">
        <v>22181.259656221573</v>
      </c>
      <c r="H434" s="662">
        <v>22902.448393203322</v>
      </c>
      <c r="I434" s="662">
        <v>23661.634032863825</v>
      </c>
      <c r="J434" s="662">
        <v>24460.697609989158</v>
      </c>
      <c r="K434" s="566" t="s">
        <v>1011</v>
      </c>
      <c r="L434" s="549"/>
      <c r="M434" s="654"/>
      <c r="O434" s="674"/>
      <c r="S434" s="550"/>
      <c r="T434" s="547"/>
      <c r="U434" s="547"/>
      <c r="V434" s="547"/>
      <c r="W434" s="549"/>
    </row>
    <row r="435" spans="1:23">
      <c r="A435" s="565">
        <v>1129</v>
      </c>
      <c r="B435" s="696" t="s">
        <v>5842</v>
      </c>
      <c r="C435" s="566">
        <f t="shared" si="6"/>
        <v>1129</v>
      </c>
      <c r="D435" s="700" t="s">
        <v>2219</v>
      </c>
      <c r="E435" s="701" t="s">
        <v>8315</v>
      </c>
      <c r="F435" s="566">
        <v>1</v>
      </c>
      <c r="G435" s="662">
        <v>19548.244299916794</v>
      </c>
      <c r="H435" s="662">
        <v>20174.205650853426</v>
      </c>
      <c r="I435" s="662">
        <v>20833.085110546395</v>
      </c>
      <c r="J435" s="662">
        <v>21526.62263617283</v>
      </c>
      <c r="K435" s="566" t="s">
        <v>1012</v>
      </c>
      <c r="L435" s="549"/>
      <c r="M435" s="654"/>
      <c r="O435" s="674"/>
      <c r="S435" s="550"/>
      <c r="T435" s="547"/>
      <c r="U435" s="547"/>
      <c r="V435" s="547"/>
      <c r="W435" s="549"/>
    </row>
    <row r="436" spans="1:23">
      <c r="A436" s="565">
        <v>1130</v>
      </c>
      <c r="B436" s="696" t="s">
        <v>5843</v>
      </c>
      <c r="C436" s="566">
        <f t="shared" si="6"/>
        <v>1130</v>
      </c>
      <c r="D436" s="700" t="s">
        <v>2219</v>
      </c>
      <c r="E436" s="701" t="s">
        <v>8316</v>
      </c>
      <c r="F436" s="566">
        <v>1</v>
      </c>
      <c r="G436" s="662">
        <v>0</v>
      </c>
      <c r="H436" s="662">
        <v>31434.98049617897</v>
      </c>
      <c r="I436" s="662">
        <v>32437.807166506042</v>
      </c>
      <c r="J436" s="662">
        <v>0</v>
      </c>
      <c r="K436" s="566" t="s">
        <v>4680</v>
      </c>
      <c r="L436" s="549"/>
      <c r="M436" s="654"/>
      <c r="O436" s="674"/>
      <c r="S436" s="550"/>
      <c r="T436" s="547"/>
      <c r="U436" s="547"/>
      <c r="V436" s="547"/>
      <c r="W436" s="549"/>
    </row>
    <row r="437" spans="1:23">
      <c r="A437" s="565">
        <v>1131</v>
      </c>
      <c r="B437" s="696" t="s">
        <v>5844</v>
      </c>
      <c r="C437" s="566">
        <f t="shared" si="6"/>
        <v>1131</v>
      </c>
      <c r="D437" s="700" t="s">
        <v>2219</v>
      </c>
      <c r="E437" s="701" t="s">
        <v>8317</v>
      </c>
      <c r="F437" s="566">
        <v>1</v>
      </c>
      <c r="G437" s="662">
        <v>0</v>
      </c>
      <c r="H437" s="662">
        <v>30203.19996799816</v>
      </c>
      <c r="I437" s="662">
        <v>31163.703355638507</v>
      </c>
      <c r="J437" s="662">
        <v>0</v>
      </c>
      <c r="K437" s="566" t="s">
        <v>4681</v>
      </c>
      <c r="L437" s="549"/>
      <c r="M437" s="654"/>
      <c r="O437" s="674"/>
      <c r="S437" s="550"/>
      <c r="T437" s="547"/>
      <c r="U437" s="547"/>
      <c r="V437" s="547"/>
      <c r="W437" s="549"/>
    </row>
    <row r="438" spans="1:23">
      <c r="A438" s="565">
        <v>1132</v>
      </c>
      <c r="B438" s="696" t="s">
        <v>5845</v>
      </c>
      <c r="C438" s="566">
        <f t="shared" si="6"/>
        <v>1132</v>
      </c>
      <c r="D438" s="700" t="s">
        <v>2219</v>
      </c>
      <c r="E438" s="701" t="s">
        <v>8318</v>
      </c>
      <c r="F438" s="566">
        <v>1</v>
      </c>
      <c r="G438" s="662">
        <v>0</v>
      </c>
      <c r="H438" s="662">
        <v>0</v>
      </c>
      <c r="I438" s="662">
        <v>0</v>
      </c>
      <c r="J438" s="662">
        <v>22315.052389163557</v>
      </c>
      <c r="K438" s="566" t="s">
        <v>4682</v>
      </c>
      <c r="L438" s="549"/>
      <c r="M438" s="654"/>
      <c r="O438" s="674"/>
      <c r="S438" s="550"/>
      <c r="T438" s="547"/>
      <c r="U438" s="547"/>
      <c r="V438" s="547"/>
      <c r="W438" s="549"/>
    </row>
    <row r="439" spans="1:23">
      <c r="A439" s="565">
        <v>1133</v>
      </c>
      <c r="B439" s="696" t="s">
        <v>5846</v>
      </c>
      <c r="C439" s="566">
        <f t="shared" si="6"/>
        <v>1133</v>
      </c>
      <c r="D439" s="700" t="s">
        <v>2219</v>
      </c>
      <c r="E439" s="701" t="s">
        <v>8319</v>
      </c>
      <c r="F439" s="566">
        <v>1</v>
      </c>
      <c r="G439" s="662">
        <v>0</v>
      </c>
      <c r="H439" s="662">
        <v>0</v>
      </c>
      <c r="I439" s="662">
        <v>0</v>
      </c>
      <c r="J439" s="662">
        <v>21040.948578296026</v>
      </c>
      <c r="K439" s="566" t="s">
        <v>4683</v>
      </c>
      <c r="L439" s="549"/>
      <c r="M439" s="654"/>
      <c r="O439" s="674"/>
      <c r="S439" s="550"/>
      <c r="T439" s="547"/>
      <c r="U439" s="547"/>
      <c r="V439" s="547"/>
      <c r="W439" s="549"/>
    </row>
    <row r="440" spans="1:23">
      <c r="A440" s="565">
        <v>1134</v>
      </c>
      <c r="B440" s="696" t="s">
        <v>5847</v>
      </c>
      <c r="C440" s="566">
        <f t="shared" si="6"/>
        <v>1134</v>
      </c>
      <c r="D440" s="700" t="s">
        <v>2219</v>
      </c>
      <c r="E440" s="701" t="s">
        <v>8320</v>
      </c>
      <c r="F440" s="566">
        <v>1</v>
      </c>
      <c r="G440" s="662">
        <v>24689.343787584407</v>
      </c>
      <c r="H440" s="662">
        <v>25489.933003181683</v>
      </c>
      <c r="I440" s="662">
        <v>26332.646668877038</v>
      </c>
      <c r="J440" s="662">
        <v>27219.731422009023</v>
      </c>
      <c r="K440" s="566" t="s">
        <v>1013</v>
      </c>
      <c r="L440" s="549"/>
      <c r="M440" s="654"/>
      <c r="O440" s="674"/>
      <c r="S440" s="550"/>
      <c r="T440" s="547"/>
      <c r="U440" s="547"/>
      <c r="V440" s="547"/>
      <c r="W440" s="549"/>
    </row>
    <row r="441" spans="1:23">
      <c r="A441" s="565">
        <v>1135</v>
      </c>
      <c r="B441" s="695" t="s">
        <v>5848</v>
      </c>
      <c r="C441" s="566">
        <f t="shared" si="6"/>
        <v>1135</v>
      </c>
      <c r="D441" s="699" t="s">
        <v>2219</v>
      </c>
      <c r="E441" s="701" t="s">
        <v>8321</v>
      </c>
      <c r="F441" s="567">
        <v>1</v>
      </c>
      <c r="G441" s="662">
        <v>20272.438219445616</v>
      </c>
      <c r="H441" s="662">
        <v>20904.754298384454</v>
      </c>
      <c r="I441" s="662">
        <v>21570.320609934031</v>
      </c>
      <c r="J441" s="662">
        <v>22270.934463965212</v>
      </c>
      <c r="K441" s="568" t="s">
        <v>1014</v>
      </c>
      <c r="L441" s="549"/>
      <c r="M441" s="654"/>
      <c r="O441" s="674"/>
      <c r="S441" s="550"/>
      <c r="T441" s="547"/>
      <c r="U441" s="547"/>
      <c r="V441" s="547"/>
      <c r="W441" s="549"/>
    </row>
    <row r="442" spans="1:23">
      <c r="A442" s="565">
        <v>1136</v>
      </c>
      <c r="B442" s="696" t="s">
        <v>5849</v>
      </c>
      <c r="C442" s="566">
        <f t="shared" si="6"/>
        <v>1136</v>
      </c>
      <c r="D442" s="700" t="s">
        <v>2219</v>
      </c>
      <c r="E442" s="701" t="s">
        <v>8322</v>
      </c>
      <c r="F442" s="566">
        <v>1</v>
      </c>
      <c r="G442" s="662">
        <v>0</v>
      </c>
      <c r="H442" s="662">
        <v>0</v>
      </c>
      <c r="I442" s="662">
        <v>32539.735471375443</v>
      </c>
      <c r="J442" s="662">
        <v>33598.946159415151</v>
      </c>
      <c r="K442" s="566" t="s">
        <v>3953</v>
      </c>
      <c r="L442" s="549"/>
      <c r="M442" s="654"/>
      <c r="O442" s="674"/>
      <c r="S442" s="550"/>
      <c r="T442" s="547"/>
      <c r="U442" s="547"/>
      <c r="V442" s="547"/>
      <c r="W442" s="549"/>
    </row>
    <row r="443" spans="1:23">
      <c r="A443" s="565">
        <v>1137</v>
      </c>
      <c r="B443" s="696" t="s">
        <v>5850</v>
      </c>
      <c r="C443" s="566">
        <f t="shared" si="6"/>
        <v>1137</v>
      </c>
      <c r="D443" s="700" t="s">
        <v>2219</v>
      </c>
      <c r="E443" s="701" t="s">
        <v>8323</v>
      </c>
      <c r="F443" s="566">
        <v>1</v>
      </c>
      <c r="G443" s="662">
        <v>0</v>
      </c>
      <c r="H443" s="662">
        <v>0</v>
      </c>
      <c r="I443" s="662">
        <v>31233.779065236224</v>
      </c>
      <c r="J443" s="662">
        <v>32247.327633843925</v>
      </c>
      <c r="K443" s="566" t="s">
        <v>3954</v>
      </c>
      <c r="L443" s="549"/>
      <c r="M443" s="654"/>
      <c r="O443" s="674"/>
      <c r="S443" s="550"/>
      <c r="T443" s="547"/>
      <c r="U443" s="547"/>
      <c r="V443" s="547"/>
      <c r="W443" s="549"/>
    </row>
    <row r="444" spans="1:23">
      <c r="A444" s="565">
        <v>1138</v>
      </c>
      <c r="B444" s="696" t="s">
        <v>5851</v>
      </c>
      <c r="C444" s="566">
        <f t="shared" si="6"/>
        <v>1138</v>
      </c>
      <c r="D444" s="700" t="s">
        <v>2219</v>
      </c>
      <c r="E444" s="701" t="s">
        <v>8324</v>
      </c>
      <c r="F444" s="566">
        <v>1</v>
      </c>
      <c r="G444" s="662">
        <v>0</v>
      </c>
      <c r="H444" s="662">
        <v>0</v>
      </c>
      <c r="I444" s="662">
        <v>28462.603276599366</v>
      </c>
      <c r="J444" s="662">
        <v>29379.231527854467</v>
      </c>
      <c r="K444" s="566" t="s">
        <v>3955</v>
      </c>
      <c r="L444" s="549"/>
      <c r="M444" s="654"/>
      <c r="O444" s="674"/>
      <c r="S444" s="550"/>
      <c r="T444" s="547"/>
      <c r="U444" s="547"/>
      <c r="V444" s="547"/>
      <c r="W444" s="549"/>
    </row>
    <row r="445" spans="1:23">
      <c r="A445" s="565">
        <v>1139</v>
      </c>
      <c r="B445" s="696" t="s">
        <v>5852</v>
      </c>
      <c r="C445" s="566">
        <f t="shared" si="6"/>
        <v>1139</v>
      </c>
      <c r="D445" s="700" t="s">
        <v>2219</v>
      </c>
      <c r="E445" s="701" t="s">
        <v>8325</v>
      </c>
      <c r="F445" s="566">
        <v>1</v>
      </c>
      <c r="G445" s="662">
        <v>0</v>
      </c>
      <c r="H445" s="662">
        <v>0</v>
      </c>
      <c r="I445" s="662">
        <v>27188.499465731853</v>
      </c>
      <c r="J445" s="662">
        <v>28060.594218426584</v>
      </c>
      <c r="K445" s="566" t="s">
        <v>3956</v>
      </c>
      <c r="L445" s="549"/>
      <c r="M445" s="654"/>
      <c r="O445" s="674"/>
      <c r="S445" s="550"/>
      <c r="T445" s="547"/>
      <c r="U445" s="547"/>
      <c r="V445" s="547"/>
      <c r="W445" s="549"/>
    </row>
    <row r="446" spans="1:23">
      <c r="A446" s="565">
        <v>1140</v>
      </c>
      <c r="B446" s="696" t="s">
        <v>5853</v>
      </c>
      <c r="C446" s="566">
        <f t="shared" si="6"/>
        <v>1140</v>
      </c>
      <c r="D446" s="700" t="s">
        <v>2219</v>
      </c>
      <c r="E446" s="701" t="s">
        <v>8326</v>
      </c>
      <c r="F446" s="566">
        <v>1</v>
      </c>
      <c r="G446" s="662">
        <v>0</v>
      </c>
      <c r="H446" s="662">
        <v>0</v>
      </c>
      <c r="I446" s="662">
        <v>36368.417423032355</v>
      </c>
      <c r="J446" s="662">
        <v>37561.510761971076</v>
      </c>
      <c r="K446" s="566" t="s">
        <v>3957</v>
      </c>
      <c r="L446" s="549"/>
      <c r="M446" s="654"/>
      <c r="O446" s="674"/>
      <c r="S446" s="550"/>
      <c r="T446" s="547"/>
      <c r="U446" s="547"/>
      <c r="V446" s="547"/>
      <c r="W446" s="549"/>
    </row>
    <row r="447" spans="1:23">
      <c r="A447" s="565">
        <v>1141</v>
      </c>
      <c r="B447" s="695" t="s">
        <v>5854</v>
      </c>
      <c r="C447" s="566">
        <f t="shared" si="6"/>
        <v>1141</v>
      </c>
      <c r="D447" s="699" t="s">
        <v>2219</v>
      </c>
      <c r="E447" s="701" t="s">
        <v>8327</v>
      </c>
      <c r="F447" s="567">
        <v>1</v>
      </c>
      <c r="G447" s="662">
        <v>0</v>
      </c>
      <c r="H447" s="662">
        <v>0</v>
      </c>
      <c r="I447" s="662">
        <v>35979.815760717756</v>
      </c>
      <c r="J447" s="662">
        <v>37159.318623327083</v>
      </c>
      <c r="K447" s="568" t="s">
        <v>3958</v>
      </c>
      <c r="L447" s="549"/>
      <c r="M447" s="654"/>
      <c r="O447" s="674"/>
      <c r="S447" s="550"/>
      <c r="T447" s="547"/>
      <c r="U447" s="547"/>
      <c r="V447" s="547"/>
      <c r="W447" s="549"/>
    </row>
    <row r="448" spans="1:23">
      <c r="A448" s="565">
        <v>1142</v>
      </c>
      <c r="B448" s="695" t="s">
        <v>5855</v>
      </c>
      <c r="C448" s="566">
        <f t="shared" si="6"/>
        <v>1142</v>
      </c>
      <c r="D448" s="699" t="s">
        <v>2219</v>
      </c>
      <c r="E448" s="701" t="s">
        <v>8328</v>
      </c>
      <c r="F448" s="567">
        <v>1</v>
      </c>
      <c r="G448" s="662">
        <v>0</v>
      </c>
      <c r="H448" s="662">
        <v>0</v>
      </c>
      <c r="I448" s="662">
        <v>34705.711949850243</v>
      </c>
      <c r="J448" s="662">
        <v>35840.634288029527</v>
      </c>
      <c r="K448" s="568" t="s">
        <v>3959</v>
      </c>
      <c r="L448" s="549"/>
      <c r="M448" s="654"/>
      <c r="O448" s="674"/>
      <c r="S448" s="550"/>
      <c r="T448" s="547"/>
      <c r="U448" s="547"/>
      <c r="V448" s="547"/>
      <c r="W448" s="549"/>
    </row>
    <row r="449" spans="1:23">
      <c r="A449" s="565">
        <v>1143</v>
      </c>
      <c r="B449" s="696" t="s">
        <v>5856</v>
      </c>
      <c r="C449" s="566">
        <f t="shared" si="6"/>
        <v>1143</v>
      </c>
      <c r="D449" s="700" t="s">
        <v>2219</v>
      </c>
      <c r="E449" s="701" t="s">
        <v>8329</v>
      </c>
      <c r="F449" s="566">
        <v>1</v>
      </c>
      <c r="G449" s="662">
        <v>0</v>
      </c>
      <c r="H449" s="662">
        <v>0</v>
      </c>
      <c r="I449" s="662">
        <v>42232.480212550152</v>
      </c>
      <c r="J449" s="662">
        <v>43630.60634317121</v>
      </c>
      <c r="K449" s="566" t="s">
        <v>4684</v>
      </c>
      <c r="L449" s="549"/>
      <c r="M449" s="654"/>
      <c r="O449" s="674"/>
      <c r="S449" s="550"/>
      <c r="T449" s="547"/>
      <c r="U449" s="547"/>
      <c r="V449" s="547"/>
      <c r="W449" s="549"/>
    </row>
    <row r="450" spans="1:23">
      <c r="A450" s="565">
        <v>1144</v>
      </c>
      <c r="B450" s="696" t="s">
        <v>5857</v>
      </c>
      <c r="C450" s="566">
        <f t="shared" si="6"/>
        <v>1144</v>
      </c>
      <c r="D450" s="700" t="s">
        <v>2219</v>
      </c>
      <c r="E450" s="701" t="s">
        <v>8330</v>
      </c>
      <c r="F450" s="566">
        <v>1</v>
      </c>
      <c r="G450" s="662">
        <v>0</v>
      </c>
      <c r="H450" s="662">
        <v>0</v>
      </c>
      <c r="I450" s="662">
        <v>40958.376401682624</v>
      </c>
      <c r="J450" s="662">
        <v>42311.922007873669</v>
      </c>
      <c r="K450" s="566" t="s">
        <v>4685</v>
      </c>
      <c r="L450" s="549"/>
      <c r="M450" s="654"/>
      <c r="O450" s="674"/>
      <c r="S450" s="550"/>
      <c r="T450" s="547"/>
      <c r="U450" s="547"/>
      <c r="V450" s="547"/>
      <c r="W450" s="549"/>
    </row>
    <row r="451" spans="1:23">
      <c r="A451" s="565">
        <v>1145</v>
      </c>
      <c r="B451" s="695" t="s">
        <v>5858</v>
      </c>
      <c r="C451" s="566">
        <f t="shared" si="6"/>
        <v>1145</v>
      </c>
      <c r="D451" s="699" t="s">
        <v>2219</v>
      </c>
      <c r="E451" s="701" t="s">
        <v>8331</v>
      </c>
      <c r="F451" s="567">
        <v>1</v>
      </c>
      <c r="G451" s="662">
        <v>0</v>
      </c>
      <c r="H451" s="662">
        <v>0</v>
      </c>
      <c r="I451" s="662">
        <v>40168.432038944753</v>
      </c>
      <c r="J451" s="662">
        <v>41494.373459650131</v>
      </c>
      <c r="K451" s="568" t="s">
        <v>4686</v>
      </c>
      <c r="L451" s="549"/>
      <c r="M451" s="654"/>
      <c r="O451" s="674"/>
      <c r="S451" s="550"/>
      <c r="T451" s="547"/>
      <c r="U451" s="547"/>
      <c r="V451" s="547"/>
      <c r="W451" s="549"/>
    </row>
    <row r="452" spans="1:23">
      <c r="A452" s="565">
        <v>1146</v>
      </c>
      <c r="B452" s="695" t="s">
        <v>5859</v>
      </c>
      <c r="C452" s="566">
        <f t="shared" si="6"/>
        <v>1146</v>
      </c>
      <c r="D452" s="699" t="s">
        <v>2219</v>
      </c>
      <c r="E452" s="701" t="s">
        <v>8332</v>
      </c>
      <c r="F452" s="567">
        <v>1</v>
      </c>
      <c r="G452" s="662">
        <v>0</v>
      </c>
      <c r="H452" s="662">
        <v>0</v>
      </c>
      <c r="I452" s="662">
        <v>38894.328228077233</v>
      </c>
      <c r="J452" s="662">
        <v>40175.736150222241</v>
      </c>
      <c r="K452" s="568" t="s">
        <v>4687</v>
      </c>
      <c r="L452" s="549"/>
      <c r="M452" s="654"/>
      <c r="O452" s="674"/>
      <c r="S452" s="550"/>
      <c r="T452" s="547"/>
      <c r="U452" s="547"/>
      <c r="V452" s="547"/>
      <c r="W452" s="549"/>
    </row>
    <row r="453" spans="1:23">
      <c r="A453" s="565">
        <v>1147</v>
      </c>
      <c r="B453" s="696" t="s">
        <v>5860</v>
      </c>
      <c r="C453" s="566">
        <f t="shared" si="6"/>
        <v>1147</v>
      </c>
      <c r="D453" s="700" t="s">
        <v>2219</v>
      </c>
      <c r="E453" s="701" t="s">
        <v>8333</v>
      </c>
      <c r="F453" s="566">
        <v>1</v>
      </c>
      <c r="G453" s="662">
        <v>0</v>
      </c>
      <c r="H453" s="662">
        <v>0</v>
      </c>
      <c r="I453" s="662">
        <v>23727.308148055807</v>
      </c>
      <c r="J453" s="662">
        <v>24252.829091556068</v>
      </c>
      <c r="K453" s="566" t="s">
        <v>3960</v>
      </c>
      <c r="L453" s="549"/>
      <c r="M453" s="654"/>
      <c r="O453" s="674"/>
      <c r="S453" s="550"/>
      <c r="T453" s="547"/>
      <c r="U453" s="547"/>
      <c r="V453" s="547"/>
      <c r="W453" s="549"/>
    </row>
    <row r="454" spans="1:23">
      <c r="A454" s="565">
        <v>1148</v>
      </c>
      <c r="B454" s="696" t="s">
        <v>5861</v>
      </c>
      <c r="C454" s="566">
        <f t="shared" si="6"/>
        <v>1148</v>
      </c>
      <c r="D454" s="700" t="s">
        <v>2219</v>
      </c>
      <c r="E454" s="701" t="s">
        <v>8334</v>
      </c>
      <c r="F454" s="566">
        <v>1</v>
      </c>
      <c r="G454" s="662">
        <v>0</v>
      </c>
      <c r="H454" s="662">
        <v>0</v>
      </c>
      <c r="I454" s="662">
        <v>0</v>
      </c>
      <c r="J454" s="662">
        <v>21297.180071783736</v>
      </c>
      <c r="K454" s="566" t="s">
        <v>4688</v>
      </c>
      <c r="L454" s="549"/>
      <c r="M454" s="654"/>
      <c r="O454" s="674"/>
      <c r="S454" s="550"/>
      <c r="T454" s="547"/>
      <c r="U454" s="547"/>
      <c r="V454" s="547"/>
      <c r="W454" s="549"/>
    </row>
    <row r="455" spans="1:23">
      <c r="A455" s="565">
        <v>1149</v>
      </c>
      <c r="B455" s="695" t="s">
        <v>5862</v>
      </c>
      <c r="C455" s="566">
        <f t="shared" si="6"/>
        <v>1149</v>
      </c>
      <c r="D455" s="699" t="s">
        <v>2219</v>
      </c>
      <c r="E455" s="701" t="s">
        <v>8335</v>
      </c>
      <c r="F455" s="567">
        <v>1</v>
      </c>
      <c r="G455" s="662">
        <v>0</v>
      </c>
      <c r="H455" s="662">
        <v>20608.400761066936</v>
      </c>
      <c r="I455" s="662">
        <v>0</v>
      </c>
      <c r="J455" s="662">
        <v>0</v>
      </c>
      <c r="K455" s="568" t="s">
        <v>3028</v>
      </c>
      <c r="L455" s="549"/>
      <c r="M455" s="654"/>
      <c r="O455" s="673"/>
      <c r="S455" s="550"/>
      <c r="T455" s="547"/>
      <c r="U455" s="547"/>
      <c r="V455" s="547"/>
      <c r="W455" s="549"/>
    </row>
    <row r="456" spans="1:23">
      <c r="A456" s="565">
        <v>1150</v>
      </c>
      <c r="B456" s="695" t="s">
        <v>5863</v>
      </c>
      <c r="C456" s="566">
        <f t="shared" si="6"/>
        <v>1150</v>
      </c>
      <c r="D456" s="699" t="s">
        <v>2219</v>
      </c>
      <c r="E456" s="701" t="s">
        <v>8336</v>
      </c>
      <c r="F456" s="567">
        <v>1</v>
      </c>
      <c r="G456" s="662">
        <v>0</v>
      </c>
      <c r="H456" s="662">
        <v>0</v>
      </c>
      <c r="I456" s="662">
        <v>27025.923856090372</v>
      </c>
      <c r="J456" s="662">
        <v>27632.288503200198</v>
      </c>
      <c r="K456" s="568" t="s">
        <v>4689</v>
      </c>
      <c r="L456" s="549"/>
      <c r="M456" s="654"/>
      <c r="O456" s="673"/>
      <c r="S456" s="550"/>
      <c r="T456" s="547"/>
      <c r="U456" s="547"/>
      <c r="V456" s="547"/>
      <c r="W456" s="549"/>
    </row>
    <row r="457" spans="1:23">
      <c r="A457" s="565">
        <v>1151</v>
      </c>
      <c r="B457" s="696" t="s">
        <v>5864</v>
      </c>
      <c r="C457" s="566">
        <f t="shared" ref="C457:C520" si="7">A457</f>
        <v>1151</v>
      </c>
      <c r="D457" s="700" t="s">
        <v>2219</v>
      </c>
      <c r="E457" s="701" t="s">
        <v>8337</v>
      </c>
      <c r="F457" s="566">
        <v>1</v>
      </c>
      <c r="G457" s="662">
        <v>0</v>
      </c>
      <c r="H457" s="662">
        <v>0</v>
      </c>
      <c r="I457" s="662">
        <v>0</v>
      </c>
      <c r="J457" s="662">
        <v>27263.4339632341</v>
      </c>
      <c r="K457" s="566" t="s">
        <v>4690</v>
      </c>
      <c r="L457" s="549"/>
      <c r="M457" s="654"/>
      <c r="O457" s="673"/>
      <c r="S457" s="550"/>
      <c r="T457" s="547"/>
      <c r="U457" s="547"/>
      <c r="V457" s="547"/>
      <c r="W457" s="549"/>
    </row>
    <row r="458" spans="1:23">
      <c r="A458" s="565">
        <v>1152</v>
      </c>
      <c r="B458" s="696" t="s">
        <v>5865</v>
      </c>
      <c r="C458" s="566">
        <f t="shared" si="7"/>
        <v>1152</v>
      </c>
      <c r="D458" s="700" t="s">
        <v>2219</v>
      </c>
      <c r="E458" s="701" t="s">
        <v>8338</v>
      </c>
      <c r="F458" s="566">
        <v>1</v>
      </c>
      <c r="G458" s="662">
        <v>0</v>
      </c>
      <c r="H458" s="662">
        <v>0</v>
      </c>
      <c r="I458" s="662">
        <v>30640.827686817862</v>
      </c>
      <c r="J458" s="662">
        <v>31335.803325570261</v>
      </c>
      <c r="K458" s="566" t="s">
        <v>4691</v>
      </c>
      <c r="L458" s="549"/>
      <c r="M458" s="654"/>
      <c r="O458" s="672"/>
      <c r="S458" s="550"/>
      <c r="T458" s="547"/>
      <c r="U458" s="547"/>
      <c r="V458" s="547"/>
      <c r="W458" s="549"/>
    </row>
    <row r="459" spans="1:23">
      <c r="A459" s="565">
        <v>1153</v>
      </c>
      <c r="B459" s="695" t="s">
        <v>5866</v>
      </c>
      <c r="C459" s="566">
        <f t="shared" si="7"/>
        <v>1153</v>
      </c>
      <c r="D459" s="699" t="s">
        <v>2219</v>
      </c>
      <c r="E459" s="701" t="s">
        <v>8339</v>
      </c>
      <c r="F459" s="567">
        <v>1</v>
      </c>
      <c r="G459" s="662">
        <v>0</v>
      </c>
      <c r="H459" s="662">
        <v>27232.55764930541</v>
      </c>
      <c r="I459" s="662">
        <v>0</v>
      </c>
      <c r="J459" s="662">
        <v>0</v>
      </c>
      <c r="K459" s="568" t="s">
        <v>3029</v>
      </c>
      <c r="L459" s="549"/>
      <c r="M459" s="654"/>
      <c r="O459" s="672"/>
      <c r="S459" s="550"/>
      <c r="T459" s="547"/>
      <c r="U459" s="547"/>
      <c r="V459" s="547"/>
      <c r="W459" s="549"/>
    </row>
    <row r="460" spans="1:23">
      <c r="A460" s="565">
        <v>1154</v>
      </c>
      <c r="B460" s="696" t="s">
        <v>5867</v>
      </c>
      <c r="C460" s="566">
        <f t="shared" si="7"/>
        <v>1154</v>
      </c>
      <c r="D460" s="700" t="s">
        <v>2219</v>
      </c>
      <c r="E460" s="701" t="s">
        <v>8340</v>
      </c>
      <c r="F460" s="566">
        <v>1</v>
      </c>
      <c r="G460" s="662">
        <v>0</v>
      </c>
      <c r="H460" s="662">
        <v>0</v>
      </c>
      <c r="I460" s="662">
        <v>28387.20685400927</v>
      </c>
      <c r="J460" s="662">
        <v>29045.459934782753</v>
      </c>
      <c r="K460" s="566" t="s">
        <v>3961</v>
      </c>
      <c r="L460" s="549"/>
      <c r="M460" s="654"/>
      <c r="O460" s="672"/>
      <c r="S460" s="550"/>
      <c r="T460" s="547"/>
      <c r="U460" s="547"/>
      <c r="V460" s="547"/>
      <c r="W460" s="549"/>
    </row>
    <row r="461" spans="1:23">
      <c r="A461" s="565">
        <v>1155</v>
      </c>
      <c r="B461" s="696" t="s">
        <v>5868</v>
      </c>
      <c r="C461" s="566">
        <f t="shared" si="7"/>
        <v>1155</v>
      </c>
      <c r="D461" s="700" t="s">
        <v>2219</v>
      </c>
      <c r="E461" s="701" t="s">
        <v>8341</v>
      </c>
      <c r="F461" s="566">
        <v>1</v>
      </c>
      <c r="G461" s="662">
        <v>25159.51371049483</v>
      </c>
      <c r="H461" s="662">
        <v>0</v>
      </c>
      <c r="I461" s="662">
        <v>0</v>
      </c>
      <c r="J461" s="662">
        <v>0</v>
      </c>
      <c r="K461" s="566" t="s">
        <v>5221</v>
      </c>
      <c r="L461" s="549"/>
      <c r="M461" s="654"/>
      <c r="O461" s="672"/>
      <c r="S461" s="550"/>
      <c r="T461" s="547"/>
      <c r="U461" s="547"/>
      <c r="V461" s="547"/>
      <c r="W461" s="549"/>
    </row>
    <row r="462" spans="1:23">
      <c r="A462" s="565">
        <v>1156</v>
      </c>
      <c r="B462" s="696" t="s">
        <v>5869</v>
      </c>
      <c r="C462" s="566">
        <f t="shared" si="7"/>
        <v>1156</v>
      </c>
      <c r="D462" s="700" t="s">
        <v>2219</v>
      </c>
      <c r="E462" s="701" t="s">
        <v>8342</v>
      </c>
      <c r="F462" s="566">
        <v>1</v>
      </c>
      <c r="G462" s="662">
        <v>0</v>
      </c>
      <c r="H462" s="662">
        <v>25315.851084655562</v>
      </c>
      <c r="I462" s="662">
        <v>0</v>
      </c>
      <c r="J462" s="662">
        <v>0</v>
      </c>
      <c r="K462" s="566" t="s">
        <v>3030</v>
      </c>
      <c r="L462" s="549"/>
      <c r="M462" s="654"/>
      <c r="O462" s="672"/>
      <c r="S462" s="550"/>
      <c r="T462" s="547"/>
      <c r="U462" s="547"/>
      <c r="V462" s="547"/>
      <c r="W462" s="549"/>
    </row>
    <row r="463" spans="1:23">
      <c r="A463" s="565">
        <v>1157</v>
      </c>
      <c r="B463" s="696" t="s">
        <v>5870</v>
      </c>
      <c r="C463" s="566">
        <f t="shared" si="7"/>
        <v>1157</v>
      </c>
      <c r="D463" s="700" t="s">
        <v>2219</v>
      </c>
      <c r="E463" s="701" t="s">
        <v>8343</v>
      </c>
      <c r="F463" s="566">
        <v>1</v>
      </c>
      <c r="G463" s="662">
        <v>27503.475902354887</v>
      </c>
      <c r="H463" s="662">
        <v>0</v>
      </c>
      <c r="I463" s="662">
        <v>0</v>
      </c>
      <c r="J463" s="662">
        <v>0</v>
      </c>
      <c r="K463" s="566" t="s">
        <v>5222</v>
      </c>
      <c r="L463" s="549"/>
      <c r="M463" s="654"/>
      <c r="O463" s="671"/>
      <c r="S463" s="550"/>
      <c r="T463" s="547"/>
      <c r="U463" s="547"/>
      <c r="V463" s="547"/>
      <c r="W463" s="549"/>
    </row>
    <row r="464" spans="1:23">
      <c r="A464" s="565">
        <v>1158</v>
      </c>
      <c r="B464" s="695" t="s">
        <v>5871</v>
      </c>
      <c r="C464" s="566">
        <f t="shared" si="7"/>
        <v>1158</v>
      </c>
      <c r="D464" s="699" t="s">
        <v>2219</v>
      </c>
      <c r="E464" s="701" t="s">
        <v>8344</v>
      </c>
      <c r="F464" s="567">
        <v>1</v>
      </c>
      <c r="G464" s="662">
        <v>28010.278538432729</v>
      </c>
      <c r="H464" s="662">
        <v>0</v>
      </c>
      <c r="I464" s="662">
        <v>0</v>
      </c>
      <c r="J464" s="662">
        <v>0</v>
      </c>
      <c r="K464" s="568" t="s">
        <v>5223</v>
      </c>
      <c r="L464" s="549"/>
      <c r="M464" s="654"/>
      <c r="O464" s="671"/>
      <c r="S464" s="550"/>
      <c r="T464" s="547"/>
      <c r="U464" s="547"/>
      <c r="V464" s="547"/>
      <c r="W464" s="549"/>
    </row>
    <row r="465" spans="1:23">
      <c r="A465" s="565">
        <v>1159</v>
      </c>
      <c r="B465" s="696" t="s">
        <v>5872</v>
      </c>
      <c r="C465" s="566">
        <f t="shared" si="7"/>
        <v>1159</v>
      </c>
      <c r="D465" s="700" t="s">
        <v>2219</v>
      </c>
      <c r="E465" s="701" t="s">
        <v>8345</v>
      </c>
      <c r="F465" s="566">
        <v>1</v>
      </c>
      <c r="G465" s="662">
        <v>32128.049956565264</v>
      </c>
      <c r="H465" s="662">
        <v>32880.641174904398</v>
      </c>
      <c r="I465" s="662">
        <v>0</v>
      </c>
      <c r="J465" s="662">
        <v>0</v>
      </c>
      <c r="K465" s="566" t="s">
        <v>1015</v>
      </c>
      <c r="L465" s="549"/>
      <c r="M465" s="654"/>
      <c r="O465" s="671"/>
      <c r="S465" s="550"/>
      <c r="T465" s="547"/>
      <c r="U465" s="547"/>
      <c r="V465" s="547"/>
      <c r="W465" s="549"/>
    </row>
    <row r="466" spans="1:23">
      <c r="A466" s="565">
        <v>1160</v>
      </c>
      <c r="B466" s="696" t="s">
        <v>5873</v>
      </c>
      <c r="C466" s="566">
        <f t="shared" si="7"/>
        <v>1160</v>
      </c>
      <c r="D466" s="700" t="s">
        <v>2219</v>
      </c>
      <c r="E466" s="701" t="s">
        <v>8346</v>
      </c>
      <c r="F466" s="566">
        <v>1</v>
      </c>
      <c r="G466" s="662">
        <v>0</v>
      </c>
      <c r="H466" s="662">
        <v>0</v>
      </c>
      <c r="I466" s="662">
        <v>29690.787258242963</v>
      </c>
      <c r="J466" s="662">
        <v>31855.132236635316</v>
      </c>
      <c r="K466" s="566" t="s">
        <v>4692</v>
      </c>
      <c r="L466" s="549"/>
      <c r="M466" s="654"/>
      <c r="O466" s="671"/>
      <c r="S466" s="550"/>
      <c r="T466" s="547"/>
      <c r="U466" s="547"/>
      <c r="V466" s="547"/>
      <c r="W466" s="549"/>
    </row>
    <row r="467" spans="1:23">
      <c r="A467" s="565">
        <v>1161</v>
      </c>
      <c r="B467" s="696" t="s">
        <v>5874</v>
      </c>
      <c r="C467" s="566">
        <f t="shared" si="7"/>
        <v>1161</v>
      </c>
      <c r="D467" s="700" t="s">
        <v>2219</v>
      </c>
      <c r="E467" s="701" t="s">
        <v>8347</v>
      </c>
      <c r="F467" s="566">
        <v>1</v>
      </c>
      <c r="G467" s="662">
        <v>30527.351977490573</v>
      </c>
      <c r="H467" s="662">
        <v>0</v>
      </c>
      <c r="I467" s="662">
        <v>0</v>
      </c>
      <c r="J467" s="662">
        <v>0</v>
      </c>
      <c r="K467" s="566" t="s">
        <v>5224</v>
      </c>
      <c r="L467" s="549"/>
      <c r="M467" s="654"/>
      <c r="O467" s="671"/>
      <c r="S467" s="550"/>
      <c r="T467" s="547"/>
      <c r="U467" s="547"/>
      <c r="V467" s="547"/>
      <c r="W467" s="549"/>
    </row>
    <row r="468" spans="1:23">
      <c r="A468" s="565">
        <v>1162</v>
      </c>
      <c r="B468" s="696" t="s">
        <v>5875</v>
      </c>
      <c r="C468" s="566">
        <f t="shared" si="7"/>
        <v>1162</v>
      </c>
      <c r="D468" s="700" t="s">
        <v>2219</v>
      </c>
      <c r="E468" s="701" t="s">
        <v>8348</v>
      </c>
      <c r="F468" s="566">
        <v>1</v>
      </c>
      <c r="G468" s="662">
        <v>31745.838734544152</v>
      </c>
      <c r="H468" s="662">
        <v>0</v>
      </c>
      <c r="I468" s="662">
        <v>0</v>
      </c>
      <c r="J468" s="662">
        <v>0</v>
      </c>
      <c r="K468" s="566" t="s">
        <v>5225</v>
      </c>
      <c r="L468" s="549"/>
      <c r="M468" s="654"/>
      <c r="O468" s="671"/>
      <c r="S468" s="550"/>
      <c r="T468" s="547"/>
      <c r="U468" s="547"/>
      <c r="V468" s="547"/>
      <c r="W468" s="549"/>
    </row>
    <row r="469" spans="1:23">
      <c r="A469" s="565">
        <v>1163</v>
      </c>
      <c r="B469" s="696" t="s">
        <v>5876</v>
      </c>
      <c r="C469" s="566">
        <f t="shared" si="7"/>
        <v>1163</v>
      </c>
      <c r="D469" s="700" t="s">
        <v>2219</v>
      </c>
      <c r="E469" s="701" t="s">
        <v>8349</v>
      </c>
      <c r="F469" s="566">
        <v>1</v>
      </c>
      <c r="G469" s="662">
        <v>34111.12831042747</v>
      </c>
      <c r="H469" s="662">
        <v>0</v>
      </c>
      <c r="I469" s="662">
        <v>0</v>
      </c>
      <c r="J469" s="662">
        <v>0</v>
      </c>
      <c r="K469" s="566" t="s">
        <v>5226</v>
      </c>
      <c r="L469" s="549"/>
      <c r="M469" s="654"/>
      <c r="O469" s="671"/>
      <c r="S469" s="550"/>
      <c r="T469" s="547"/>
      <c r="U469" s="547"/>
      <c r="V469" s="547"/>
      <c r="W469" s="549"/>
    </row>
    <row r="470" spans="1:23">
      <c r="A470" s="565">
        <v>1164</v>
      </c>
      <c r="B470" s="696" t="s">
        <v>5877</v>
      </c>
      <c r="C470" s="566">
        <f t="shared" si="7"/>
        <v>1164</v>
      </c>
      <c r="D470" s="700" t="s">
        <v>2219</v>
      </c>
      <c r="E470" s="701" t="s">
        <v>8350</v>
      </c>
      <c r="F470" s="566">
        <v>1</v>
      </c>
      <c r="G470" s="662">
        <v>36046.407718802286</v>
      </c>
      <c r="H470" s="662">
        <v>0</v>
      </c>
      <c r="I470" s="662">
        <v>0</v>
      </c>
      <c r="J470" s="662">
        <v>0</v>
      </c>
      <c r="K470" s="566" t="s">
        <v>5227</v>
      </c>
      <c r="L470" s="549"/>
      <c r="M470" s="654"/>
      <c r="O470" s="671"/>
      <c r="S470" s="550"/>
      <c r="T470" s="547"/>
      <c r="U470" s="547"/>
      <c r="V470" s="547"/>
      <c r="W470" s="549"/>
    </row>
    <row r="471" spans="1:23">
      <c r="A471" s="565">
        <v>1165</v>
      </c>
      <c r="B471" s="696" t="s">
        <v>5878</v>
      </c>
      <c r="C471" s="566">
        <f t="shared" si="7"/>
        <v>1165</v>
      </c>
      <c r="D471" s="700" t="s">
        <v>2219</v>
      </c>
      <c r="E471" s="701" t="s">
        <v>8351</v>
      </c>
      <c r="F471" s="566">
        <v>1</v>
      </c>
      <c r="G471" s="662">
        <v>35329.615067481049</v>
      </c>
      <c r="H471" s="662">
        <v>0</v>
      </c>
      <c r="I471" s="662">
        <v>0</v>
      </c>
      <c r="J471" s="662">
        <v>0</v>
      </c>
      <c r="K471" s="566" t="s">
        <v>5228</v>
      </c>
      <c r="L471" s="549"/>
      <c r="M471" s="654"/>
      <c r="O471" s="671"/>
      <c r="S471" s="550"/>
      <c r="T471" s="547"/>
      <c r="U471" s="547"/>
      <c r="V471" s="547"/>
      <c r="W471" s="549"/>
    </row>
    <row r="472" spans="1:23">
      <c r="A472" s="565">
        <v>1166</v>
      </c>
      <c r="B472" s="696" t="s">
        <v>5879</v>
      </c>
      <c r="C472" s="566">
        <f t="shared" si="7"/>
        <v>1166</v>
      </c>
      <c r="D472" s="700" t="s">
        <v>2219</v>
      </c>
      <c r="E472" s="701" t="s">
        <v>8352</v>
      </c>
      <c r="F472" s="566">
        <v>1</v>
      </c>
      <c r="G472" s="662">
        <v>31602.470858096443</v>
      </c>
      <c r="H472" s="662">
        <v>0</v>
      </c>
      <c r="I472" s="662">
        <v>0</v>
      </c>
      <c r="J472" s="662">
        <v>0</v>
      </c>
      <c r="K472" s="566" t="s">
        <v>5229</v>
      </c>
      <c r="L472" s="549"/>
      <c r="M472" s="654"/>
      <c r="O472" s="668"/>
      <c r="S472" s="550"/>
      <c r="T472" s="547"/>
      <c r="U472" s="547"/>
      <c r="V472" s="547"/>
      <c r="W472" s="549"/>
    </row>
    <row r="473" spans="1:23">
      <c r="A473" s="565">
        <v>1167</v>
      </c>
      <c r="B473" s="696" t="s">
        <v>5880</v>
      </c>
      <c r="C473" s="566">
        <f t="shared" si="7"/>
        <v>1167</v>
      </c>
      <c r="D473" s="700" t="s">
        <v>2219</v>
      </c>
      <c r="E473" s="701" t="s">
        <v>8353</v>
      </c>
      <c r="F473" s="566">
        <v>1</v>
      </c>
      <c r="G473" s="662">
        <v>32820.957615150037</v>
      </c>
      <c r="H473" s="662">
        <v>0</v>
      </c>
      <c r="I473" s="662">
        <v>0</v>
      </c>
      <c r="J473" s="662">
        <v>0</v>
      </c>
      <c r="K473" s="566" t="s">
        <v>5230</v>
      </c>
      <c r="L473" s="549"/>
      <c r="M473" s="654"/>
      <c r="O473" s="668"/>
      <c r="S473" s="550"/>
      <c r="T473" s="547"/>
      <c r="U473" s="547"/>
      <c r="V473" s="547"/>
      <c r="W473" s="549"/>
    </row>
    <row r="474" spans="1:23">
      <c r="A474" s="565">
        <v>1168</v>
      </c>
      <c r="B474" s="696" t="s">
        <v>5881</v>
      </c>
      <c r="C474" s="566">
        <f t="shared" si="7"/>
        <v>1168</v>
      </c>
      <c r="D474" s="700" t="s">
        <v>2219</v>
      </c>
      <c r="E474" s="701" t="s">
        <v>8354</v>
      </c>
      <c r="F474" s="566">
        <v>1</v>
      </c>
      <c r="G474" s="662">
        <v>35186.293921950659</v>
      </c>
      <c r="H474" s="662">
        <v>0</v>
      </c>
      <c r="I474" s="662">
        <v>0</v>
      </c>
      <c r="J474" s="662">
        <v>0</v>
      </c>
      <c r="K474" s="566" t="s">
        <v>5231</v>
      </c>
      <c r="L474" s="549"/>
      <c r="M474" s="654"/>
      <c r="O474" s="668"/>
      <c r="S474" s="550"/>
      <c r="T474" s="547"/>
      <c r="U474" s="547"/>
      <c r="V474" s="547"/>
      <c r="W474" s="549"/>
    </row>
    <row r="475" spans="1:23">
      <c r="A475" s="565">
        <v>1169</v>
      </c>
      <c r="B475" s="696" t="s">
        <v>5882</v>
      </c>
      <c r="C475" s="566">
        <f t="shared" si="7"/>
        <v>1169</v>
      </c>
      <c r="D475" s="700" t="s">
        <v>2219</v>
      </c>
      <c r="E475" s="701" t="s">
        <v>8355</v>
      </c>
      <c r="F475" s="566">
        <v>1</v>
      </c>
      <c r="G475" s="662">
        <v>37121.573330325475</v>
      </c>
      <c r="H475" s="662">
        <v>0</v>
      </c>
      <c r="I475" s="662">
        <v>0</v>
      </c>
      <c r="J475" s="662">
        <v>0</v>
      </c>
      <c r="K475" s="566" t="s">
        <v>5232</v>
      </c>
      <c r="L475" s="549"/>
      <c r="M475" s="654"/>
      <c r="O475" s="668"/>
      <c r="S475" s="550"/>
      <c r="T475" s="547"/>
      <c r="U475" s="547"/>
      <c r="V475" s="547"/>
      <c r="W475" s="549"/>
    </row>
    <row r="476" spans="1:23">
      <c r="A476" s="565">
        <v>1170</v>
      </c>
      <c r="B476" s="696" t="s">
        <v>5883</v>
      </c>
      <c r="C476" s="566">
        <f t="shared" si="7"/>
        <v>1170</v>
      </c>
      <c r="D476" s="700" t="s">
        <v>2219</v>
      </c>
      <c r="E476" s="701" t="s">
        <v>8356</v>
      </c>
      <c r="F476" s="566">
        <v>1</v>
      </c>
      <c r="G476" s="662">
        <v>36404.780679004238</v>
      </c>
      <c r="H476" s="662">
        <v>0</v>
      </c>
      <c r="I476" s="662">
        <v>0</v>
      </c>
      <c r="J476" s="662">
        <v>0</v>
      </c>
      <c r="K476" s="566" t="s">
        <v>5233</v>
      </c>
      <c r="L476" s="549"/>
      <c r="M476" s="654"/>
      <c r="O476" s="668"/>
      <c r="S476" s="550"/>
      <c r="T476" s="547"/>
      <c r="U476" s="547"/>
      <c r="V476" s="547"/>
      <c r="W476" s="549"/>
    </row>
    <row r="477" spans="1:23">
      <c r="A477" s="565">
        <v>1171</v>
      </c>
      <c r="B477" s="696" t="s">
        <v>5884</v>
      </c>
      <c r="C477" s="566">
        <f t="shared" si="7"/>
        <v>1171</v>
      </c>
      <c r="D477" s="700" t="s">
        <v>2219</v>
      </c>
      <c r="E477" s="701" t="s">
        <v>8357</v>
      </c>
      <c r="F477" s="566">
        <v>1</v>
      </c>
      <c r="G477" s="662">
        <v>39916.919804634606</v>
      </c>
      <c r="H477" s="662">
        <v>0</v>
      </c>
      <c r="I477" s="662">
        <v>0</v>
      </c>
      <c r="J477" s="662">
        <v>0</v>
      </c>
      <c r="K477" s="566" t="s">
        <v>5234</v>
      </c>
      <c r="L477" s="549"/>
      <c r="M477" s="654"/>
      <c r="O477" s="668"/>
      <c r="S477" s="550"/>
      <c r="T477" s="547"/>
      <c r="U477" s="547"/>
      <c r="V477" s="547"/>
      <c r="W477" s="549"/>
    </row>
    <row r="478" spans="1:23">
      <c r="A478" s="565">
        <v>1172</v>
      </c>
      <c r="B478" s="696" t="s">
        <v>5885</v>
      </c>
      <c r="C478" s="566">
        <f t="shared" si="7"/>
        <v>1172</v>
      </c>
      <c r="D478" s="700" t="s">
        <v>2219</v>
      </c>
      <c r="E478" s="701" t="s">
        <v>8358</v>
      </c>
      <c r="F478" s="566">
        <v>1</v>
      </c>
      <c r="G478" s="662">
        <v>40992.085416157788</v>
      </c>
      <c r="H478" s="662">
        <v>0</v>
      </c>
      <c r="I478" s="662">
        <v>0</v>
      </c>
      <c r="J478" s="662">
        <v>0</v>
      </c>
      <c r="K478" s="566" t="s">
        <v>5235</v>
      </c>
      <c r="L478" s="549"/>
      <c r="M478" s="654"/>
      <c r="O478" s="668"/>
      <c r="S478" s="550"/>
      <c r="T478" s="547"/>
      <c r="U478" s="547"/>
      <c r="V478" s="547"/>
      <c r="W478" s="549"/>
    </row>
    <row r="479" spans="1:23">
      <c r="A479" s="565">
        <v>1173</v>
      </c>
      <c r="B479" s="696" t="s">
        <v>5886</v>
      </c>
      <c r="C479" s="566">
        <f t="shared" si="7"/>
        <v>1173</v>
      </c>
      <c r="D479" s="700" t="s">
        <v>2219</v>
      </c>
      <c r="E479" s="701" t="s">
        <v>8359</v>
      </c>
      <c r="F479" s="566">
        <v>1</v>
      </c>
      <c r="G479" s="662">
        <v>41923.883151233276</v>
      </c>
      <c r="H479" s="662">
        <v>0</v>
      </c>
      <c r="I479" s="662">
        <v>0</v>
      </c>
      <c r="J479" s="662">
        <v>0</v>
      </c>
      <c r="K479" s="566" t="s">
        <v>5236</v>
      </c>
      <c r="L479" s="549"/>
      <c r="M479" s="654"/>
      <c r="O479" s="668"/>
      <c r="S479" s="550"/>
      <c r="T479" s="547"/>
      <c r="U479" s="547"/>
      <c r="V479" s="547"/>
      <c r="W479" s="549"/>
    </row>
    <row r="480" spans="1:23">
      <c r="A480" s="565">
        <v>1174</v>
      </c>
      <c r="B480" s="696" t="s">
        <v>5887</v>
      </c>
      <c r="C480" s="566">
        <f t="shared" si="7"/>
        <v>1174</v>
      </c>
      <c r="D480" s="700" t="s">
        <v>2219</v>
      </c>
      <c r="E480" s="701" t="s">
        <v>8360</v>
      </c>
      <c r="F480" s="566">
        <v>1</v>
      </c>
      <c r="G480" s="662">
        <v>40562.028517731975</v>
      </c>
      <c r="H480" s="662">
        <v>0</v>
      </c>
      <c r="I480" s="662">
        <v>0</v>
      </c>
      <c r="J480" s="662">
        <v>0</v>
      </c>
      <c r="K480" s="566" t="s">
        <v>5237</v>
      </c>
      <c r="L480" s="549"/>
      <c r="M480" s="654"/>
      <c r="O480" s="668"/>
      <c r="S480" s="550"/>
      <c r="T480" s="547"/>
      <c r="U480" s="547"/>
      <c r="V480" s="547"/>
      <c r="W480" s="549"/>
    </row>
    <row r="481" spans="1:23">
      <c r="A481" s="565">
        <v>1175</v>
      </c>
      <c r="B481" s="696" t="s">
        <v>5888</v>
      </c>
      <c r="C481" s="566">
        <f t="shared" si="7"/>
        <v>1175</v>
      </c>
      <c r="D481" s="700" t="s">
        <v>2219</v>
      </c>
      <c r="E481" s="701" t="s">
        <v>8361</v>
      </c>
      <c r="F481" s="566">
        <v>1</v>
      </c>
      <c r="G481" s="662">
        <v>42999.00203183914</v>
      </c>
      <c r="H481" s="662">
        <v>0</v>
      </c>
      <c r="I481" s="662">
        <v>0</v>
      </c>
      <c r="J481" s="662">
        <v>0</v>
      </c>
      <c r="K481" s="566" t="s">
        <v>5238</v>
      </c>
      <c r="L481" s="549"/>
      <c r="M481" s="654"/>
      <c r="O481" s="668"/>
      <c r="S481" s="550"/>
      <c r="T481" s="547"/>
      <c r="U481" s="547"/>
      <c r="V481" s="547"/>
      <c r="W481" s="549"/>
    </row>
    <row r="482" spans="1:23">
      <c r="A482" s="565">
        <v>1176</v>
      </c>
      <c r="B482" s="696" t="s">
        <v>5889</v>
      </c>
      <c r="C482" s="566">
        <f t="shared" si="7"/>
        <v>1176</v>
      </c>
      <c r="D482" s="700" t="s">
        <v>2219</v>
      </c>
      <c r="E482" s="701" t="s">
        <v>8362</v>
      </c>
      <c r="F482" s="566">
        <v>1</v>
      </c>
      <c r="G482" s="662">
        <v>41637.147398337846</v>
      </c>
      <c r="H482" s="662">
        <v>0</v>
      </c>
      <c r="I482" s="662">
        <v>0</v>
      </c>
      <c r="J482" s="662">
        <v>0</v>
      </c>
      <c r="K482" s="566" t="s">
        <v>5239</v>
      </c>
      <c r="L482" s="549"/>
      <c r="M482" s="654"/>
      <c r="O482" s="668"/>
      <c r="S482" s="550"/>
      <c r="T482" s="547"/>
      <c r="U482" s="547"/>
      <c r="V482" s="547"/>
      <c r="W482" s="549"/>
    </row>
    <row r="483" spans="1:23">
      <c r="A483" s="565">
        <v>1177</v>
      </c>
      <c r="B483" s="696" t="s">
        <v>5890</v>
      </c>
      <c r="C483" s="566">
        <f t="shared" si="7"/>
        <v>1177</v>
      </c>
      <c r="D483" s="700" t="s">
        <v>2219</v>
      </c>
      <c r="E483" s="701" t="s">
        <v>8363</v>
      </c>
      <c r="F483" s="566">
        <v>1</v>
      </c>
      <c r="G483" s="662">
        <v>32986.045259662853</v>
      </c>
      <c r="H483" s="662">
        <v>34279.930898359642</v>
      </c>
      <c r="I483" s="662">
        <v>0</v>
      </c>
      <c r="J483" s="662">
        <v>0</v>
      </c>
      <c r="K483" s="566" t="s">
        <v>1016</v>
      </c>
      <c r="L483" s="549"/>
      <c r="M483" s="654"/>
      <c r="O483" s="668"/>
      <c r="S483" s="550"/>
      <c r="T483" s="547"/>
      <c r="U483" s="547"/>
      <c r="V483" s="547"/>
      <c r="W483" s="549"/>
    </row>
    <row r="484" spans="1:23">
      <c r="A484" s="565">
        <v>1178</v>
      </c>
      <c r="B484" s="696" t="s">
        <v>5891</v>
      </c>
      <c r="C484" s="566">
        <f t="shared" si="7"/>
        <v>1178</v>
      </c>
      <c r="D484" s="700" t="s">
        <v>2219</v>
      </c>
      <c r="E484" s="701" t="s">
        <v>8364</v>
      </c>
      <c r="F484" s="566">
        <v>1</v>
      </c>
      <c r="G484" s="662">
        <v>35550.084636763364</v>
      </c>
      <c r="H484" s="662">
        <v>36952.012156299032</v>
      </c>
      <c r="I484" s="662">
        <v>0</v>
      </c>
      <c r="J484" s="662">
        <v>0</v>
      </c>
      <c r="K484" s="566" t="s">
        <v>1017</v>
      </c>
      <c r="L484" s="549"/>
      <c r="M484" s="654"/>
      <c r="O484" s="668"/>
      <c r="S484" s="550"/>
      <c r="T484" s="547"/>
      <c r="U484" s="547"/>
      <c r="V484" s="547"/>
      <c r="W484" s="549"/>
    </row>
    <row r="485" spans="1:23">
      <c r="A485" s="565">
        <v>1179</v>
      </c>
      <c r="B485" s="696" t="s">
        <v>5892</v>
      </c>
      <c r="C485" s="566">
        <f t="shared" si="7"/>
        <v>1179</v>
      </c>
      <c r="D485" s="700" t="s">
        <v>2219</v>
      </c>
      <c r="E485" s="701" t="s">
        <v>8365</v>
      </c>
      <c r="F485" s="566">
        <v>1</v>
      </c>
      <c r="G485" s="662">
        <v>0</v>
      </c>
      <c r="H485" s="662">
        <v>38306.0549429979</v>
      </c>
      <c r="I485" s="662">
        <v>39890.934003832976</v>
      </c>
      <c r="J485" s="662">
        <v>41392.398377255682</v>
      </c>
      <c r="K485" s="566" t="s">
        <v>3962</v>
      </c>
      <c r="L485" s="549"/>
      <c r="M485" s="654"/>
      <c r="O485" s="668"/>
      <c r="S485" s="550"/>
      <c r="T485" s="547"/>
      <c r="U485" s="547"/>
      <c r="V485" s="547"/>
      <c r="W485" s="549"/>
    </row>
    <row r="486" spans="1:23">
      <c r="A486" s="565">
        <v>1180</v>
      </c>
      <c r="B486" s="696" t="s">
        <v>5893</v>
      </c>
      <c r="C486" s="566">
        <f t="shared" si="7"/>
        <v>1180</v>
      </c>
      <c r="D486" s="700" t="s">
        <v>2219</v>
      </c>
      <c r="E486" s="701" t="s">
        <v>8366</v>
      </c>
      <c r="F486" s="566">
        <v>1</v>
      </c>
      <c r="G486" s="662">
        <v>37421.140398431286</v>
      </c>
      <c r="H486" s="662">
        <v>38901.9497063995</v>
      </c>
      <c r="I486" s="662">
        <v>40382.712283450404</v>
      </c>
      <c r="J486" s="662">
        <v>41941.422030587484</v>
      </c>
      <c r="K486" s="566" t="s">
        <v>1018</v>
      </c>
      <c r="L486" s="549"/>
      <c r="M486" s="654"/>
      <c r="O486" s="668"/>
      <c r="S486" s="550"/>
      <c r="T486" s="547"/>
      <c r="U486" s="547"/>
      <c r="V486" s="547"/>
      <c r="W486" s="549"/>
    </row>
    <row r="487" spans="1:23">
      <c r="A487" s="565">
        <v>1181</v>
      </c>
      <c r="B487" s="696" t="s">
        <v>5894</v>
      </c>
      <c r="C487" s="566">
        <f t="shared" si="7"/>
        <v>1181</v>
      </c>
      <c r="D487" s="700" t="s">
        <v>2219</v>
      </c>
      <c r="E487" s="701" t="s">
        <v>8367</v>
      </c>
      <c r="F487" s="566">
        <v>1</v>
      </c>
      <c r="G487" s="662">
        <v>0</v>
      </c>
      <c r="H487" s="662">
        <v>46992.630094785956</v>
      </c>
      <c r="I487" s="662">
        <v>48777.657674493414</v>
      </c>
      <c r="J487" s="662">
        <v>50656.614398009762</v>
      </c>
      <c r="K487" s="566" t="s">
        <v>4693</v>
      </c>
      <c r="L487" s="549"/>
      <c r="M487" s="654"/>
      <c r="O487" s="668"/>
      <c r="S487" s="550"/>
      <c r="T487" s="547"/>
      <c r="U487" s="547"/>
      <c r="V487" s="547"/>
      <c r="W487" s="549"/>
    </row>
    <row r="488" spans="1:23">
      <c r="A488" s="565">
        <v>1182</v>
      </c>
      <c r="B488" s="696" t="s">
        <v>5895</v>
      </c>
      <c r="C488" s="566">
        <f t="shared" si="7"/>
        <v>1182</v>
      </c>
      <c r="D488" s="700" t="s">
        <v>2219</v>
      </c>
      <c r="E488" s="701" t="s">
        <v>8368</v>
      </c>
      <c r="F488" s="566">
        <v>1</v>
      </c>
      <c r="G488" s="662">
        <v>43519.396214237902</v>
      </c>
      <c r="H488" s="662">
        <v>45257.225567454341</v>
      </c>
      <c r="I488" s="662">
        <v>46995.054920670751</v>
      </c>
      <c r="J488" s="662">
        <v>48824.289948160906</v>
      </c>
      <c r="K488" s="566" t="s">
        <v>1019</v>
      </c>
      <c r="L488" s="549"/>
      <c r="M488" s="654"/>
      <c r="O488" s="668"/>
      <c r="S488" s="550"/>
      <c r="T488" s="547"/>
      <c r="U488" s="547"/>
      <c r="V488" s="547"/>
      <c r="W488" s="549"/>
    </row>
    <row r="489" spans="1:23">
      <c r="A489" s="565">
        <v>1183</v>
      </c>
      <c r="B489" s="696" t="s">
        <v>5896</v>
      </c>
      <c r="C489" s="566">
        <f t="shared" si="7"/>
        <v>1183</v>
      </c>
      <c r="D489" s="700" t="s">
        <v>2219</v>
      </c>
      <c r="E489" s="701" t="s">
        <v>8369</v>
      </c>
      <c r="F489" s="566">
        <v>1</v>
      </c>
      <c r="G489" s="662">
        <v>0</v>
      </c>
      <c r="H489" s="662">
        <v>0</v>
      </c>
      <c r="I489" s="662">
        <v>0</v>
      </c>
      <c r="J489" s="662">
        <v>54505.338399331638</v>
      </c>
      <c r="K489" s="566" t="s">
        <v>4694</v>
      </c>
      <c r="L489" s="549"/>
      <c r="M489" s="654"/>
      <c r="O489" s="668"/>
      <c r="S489" s="550"/>
      <c r="T489" s="547"/>
      <c r="U489" s="547"/>
      <c r="V489" s="547"/>
      <c r="W489" s="549"/>
    </row>
    <row r="490" spans="1:23">
      <c r="A490" s="565">
        <v>1184</v>
      </c>
      <c r="B490" s="696" t="s">
        <v>5897</v>
      </c>
      <c r="C490" s="566">
        <f t="shared" si="7"/>
        <v>1184</v>
      </c>
      <c r="D490" s="700" t="s">
        <v>2219</v>
      </c>
      <c r="E490" s="701" t="s">
        <v>8370</v>
      </c>
      <c r="F490" s="566">
        <v>1</v>
      </c>
      <c r="G490" s="662">
        <v>0</v>
      </c>
      <c r="H490" s="662">
        <v>0</v>
      </c>
      <c r="I490" s="662">
        <v>0</v>
      </c>
      <c r="J490" s="662">
        <v>66984.117300117316</v>
      </c>
      <c r="K490" s="566" t="s">
        <v>4695</v>
      </c>
      <c r="L490" s="549"/>
      <c r="M490" s="654"/>
      <c r="O490" s="668"/>
      <c r="S490" s="550"/>
      <c r="T490" s="547"/>
      <c r="U490" s="547"/>
      <c r="V490" s="547"/>
      <c r="W490" s="549"/>
    </row>
    <row r="491" spans="1:23">
      <c r="A491" s="565">
        <v>1185</v>
      </c>
      <c r="B491" s="696" t="s">
        <v>5898</v>
      </c>
      <c r="C491" s="566">
        <f t="shared" si="7"/>
        <v>1185</v>
      </c>
      <c r="D491" s="700" t="s">
        <v>2219</v>
      </c>
      <c r="E491" s="701" t="s">
        <v>8371</v>
      </c>
      <c r="F491" s="566">
        <v>1</v>
      </c>
      <c r="G491" s="662">
        <v>50809.377258243825</v>
      </c>
      <c r="H491" s="662">
        <v>0</v>
      </c>
      <c r="I491" s="662">
        <v>0</v>
      </c>
      <c r="J491" s="662">
        <v>0</v>
      </c>
      <c r="K491" s="566" t="s">
        <v>5240</v>
      </c>
      <c r="L491" s="549"/>
      <c r="M491" s="654"/>
      <c r="O491" s="668"/>
      <c r="S491" s="550"/>
      <c r="T491" s="547"/>
      <c r="U491" s="547"/>
      <c r="V491" s="547"/>
      <c r="W491" s="549"/>
    </row>
    <row r="492" spans="1:23">
      <c r="A492" s="565">
        <v>1186</v>
      </c>
      <c r="B492" s="696" t="s">
        <v>5899</v>
      </c>
      <c r="C492" s="566">
        <f t="shared" si="7"/>
        <v>1186</v>
      </c>
      <c r="D492" s="700" t="s">
        <v>2219</v>
      </c>
      <c r="E492" s="701" t="s">
        <v>8372</v>
      </c>
      <c r="F492" s="566">
        <v>1</v>
      </c>
      <c r="G492" s="662">
        <v>48738.713259717479</v>
      </c>
      <c r="H492" s="662">
        <v>50494.974563612268</v>
      </c>
      <c r="I492" s="662">
        <v>52251.235867507057</v>
      </c>
      <c r="J492" s="662">
        <v>54099.945103706261</v>
      </c>
      <c r="K492" s="566" t="s">
        <v>1020</v>
      </c>
      <c r="L492" s="549"/>
      <c r="M492" s="654"/>
      <c r="O492" s="668"/>
      <c r="S492" s="550"/>
      <c r="T492" s="547"/>
      <c r="U492" s="547"/>
      <c r="V492" s="547"/>
      <c r="W492" s="549"/>
    </row>
    <row r="493" spans="1:23">
      <c r="A493" s="565">
        <v>1187</v>
      </c>
      <c r="B493" s="696" t="s">
        <v>5900</v>
      </c>
      <c r="C493" s="566">
        <f t="shared" si="7"/>
        <v>1187</v>
      </c>
      <c r="D493" s="700" t="s">
        <v>2219</v>
      </c>
      <c r="E493" s="701" t="s">
        <v>8373</v>
      </c>
      <c r="F493" s="566">
        <v>1</v>
      </c>
      <c r="G493" s="662">
        <v>0</v>
      </c>
      <c r="H493" s="662">
        <v>50780.229613716474</v>
      </c>
      <c r="I493" s="662">
        <v>0</v>
      </c>
      <c r="J493" s="662">
        <v>0</v>
      </c>
      <c r="K493" s="566" t="s">
        <v>3031</v>
      </c>
      <c r="L493" s="549"/>
      <c r="M493" s="654"/>
      <c r="O493" s="668"/>
      <c r="S493" s="550"/>
      <c r="T493" s="547"/>
      <c r="U493" s="547"/>
      <c r="V493" s="547"/>
      <c r="W493" s="549"/>
    </row>
    <row r="494" spans="1:23">
      <c r="A494" s="565">
        <v>1188</v>
      </c>
      <c r="B494" s="696" t="s">
        <v>5901</v>
      </c>
      <c r="C494" s="566">
        <f t="shared" si="7"/>
        <v>1188</v>
      </c>
      <c r="D494" s="700" t="s">
        <v>2219</v>
      </c>
      <c r="E494" s="701" t="s">
        <v>8374</v>
      </c>
      <c r="F494" s="566">
        <v>1</v>
      </c>
      <c r="G494" s="662">
        <v>0</v>
      </c>
      <c r="H494" s="662">
        <v>0</v>
      </c>
      <c r="I494" s="662">
        <v>54862.660262129473</v>
      </c>
      <c r="J494" s="662">
        <v>56745.82963136844</v>
      </c>
      <c r="K494" s="566" t="s">
        <v>3963</v>
      </c>
      <c r="L494" s="549"/>
      <c r="M494" s="654"/>
      <c r="O494" s="668"/>
      <c r="S494" s="550"/>
      <c r="T494" s="547"/>
      <c r="U494" s="547"/>
      <c r="V494" s="547"/>
      <c r="W494" s="549"/>
    </row>
    <row r="495" spans="1:23">
      <c r="A495" s="565">
        <v>1189</v>
      </c>
      <c r="B495" s="696" t="s">
        <v>5902</v>
      </c>
      <c r="C495" s="566">
        <f t="shared" si="7"/>
        <v>1189</v>
      </c>
      <c r="D495" s="700" t="s">
        <v>2219</v>
      </c>
      <c r="E495" s="701" t="s">
        <v>8375</v>
      </c>
      <c r="F495" s="566">
        <v>1</v>
      </c>
      <c r="G495" s="662">
        <v>53901.585686301936</v>
      </c>
      <c r="H495" s="662">
        <v>0</v>
      </c>
      <c r="I495" s="662">
        <v>0</v>
      </c>
      <c r="J495" s="662">
        <v>0</v>
      </c>
      <c r="K495" s="566" t="s">
        <v>5241</v>
      </c>
      <c r="L495" s="549"/>
      <c r="M495" s="654"/>
      <c r="O495" s="668"/>
      <c r="S495" s="550"/>
      <c r="T495" s="547"/>
      <c r="U495" s="547"/>
      <c r="V495" s="547"/>
      <c r="W495" s="549"/>
    </row>
    <row r="496" spans="1:23">
      <c r="A496" s="565">
        <v>1190</v>
      </c>
      <c r="B496" s="696" t="s">
        <v>5903</v>
      </c>
      <c r="C496" s="566">
        <f t="shared" si="7"/>
        <v>1190</v>
      </c>
      <c r="D496" s="700" t="s">
        <v>2219</v>
      </c>
      <c r="E496" s="701" t="s">
        <v>8376</v>
      </c>
      <c r="F496" s="566">
        <v>1</v>
      </c>
      <c r="G496" s="662">
        <v>51830.921687775604</v>
      </c>
      <c r="H496" s="662">
        <v>53605.514618534718</v>
      </c>
      <c r="I496" s="662">
        <v>55473.469984525713</v>
      </c>
      <c r="J496" s="662">
        <v>57439.775983534833</v>
      </c>
      <c r="K496" s="566" t="s">
        <v>1021</v>
      </c>
      <c r="L496" s="549"/>
      <c r="M496" s="654"/>
      <c r="O496" s="668"/>
      <c r="S496" s="550"/>
      <c r="T496" s="547"/>
      <c r="U496" s="547"/>
      <c r="V496" s="547"/>
      <c r="W496" s="549"/>
    </row>
    <row r="497" spans="1:23">
      <c r="A497" s="565">
        <v>1191</v>
      </c>
      <c r="B497" s="696" t="s">
        <v>5904</v>
      </c>
      <c r="C497" s="566">
        <f t="shared" si="7"/>
        <v>1191</v>
      </c>
      <c r="D497" s="700" t="s">
        <v>2219</v>
      </c>
      <c r="E497" s="701" t="s">
        <v>8377</v>
      </c>
      <c r="F497" s="566">
        <v>1</v>
      </c>
      <c r="G497" s="662">
        <v>53695.438457764729</v>
      </c>
      <c r="H497" s="662">
        <v>0</v>
      </c>
      <c r="I497" s="662">
        <v>0</v>
      </c>
      <c r="J497" s="662">
        <v>0</v>
      </c>
      <c r="K497" s="566" t="s">
        <v>5242</v>
      </c>
      <c r="L497" s="549"/>
      <c r="M497" s="654"/>
      <c r="O497" s="668"/>
      <c r="S497" s="550"/>
      <c r="T497" s="547"/>
      <c r="U497" s="547"/>
      <c r="V497" s="547"/>
      <c r="W497" s="549"/>
    </row>
    <row r="498" spans="1:23">
      <c r="A498" s="565">
        <v>1192</v>
      </c>
      <c r="B498" s="696" t="s">
        <v>5905</v>
      </c>
      <c r="C498" s="566">
        <f t="shared" si="7"/>
        <v>1192</v>
      </c>
      <c r="D498" s="700" t="s">
        <v>2219</v>
      </c>
      <c r="E498" s="701" t="s">
        <v>8378</v>
      </c>
      <c r="F498" s="566">
        <v>1</v>
      </c>
      <c r="G498" s="662">
        <v>51624.774459238397</v>
      </c>
      <c r="H498" s="662">
        <v>53391.968229947946</v>
      </c>
      <c r="I498" s="662">
        <v>55252.150321055466</v>
      </c>
      <c r="J498" s="662">
        <v>57210.267362032217</v>
      </c>
      <c r="K498" s="566" t="s">
        <v>1022</v>
      </c>
      <c r="L498" s="549"/>
      <c r="M498" s="654"/>
      <c r="O498" s="668"/>
      <c r="S498" s="550"/>
      <c r="T498" s="547"/>
      <c r="U498" s="547"/>
      <c r="V498" s="547"/>
      <c r="W498" s="549"/>
    </row>
    <row r="499" spans="1:23">
      <c r="A499" s="565">
        <v>1193</v>
      </c>
      <c r="B499" s="696" t="s">
        <v>5906</v>
      </c>
      <c r="C499" s="566">
        <f t="shared" si="7"/>
        <v>1193</v>
      </c>
      <c r="D499" s="700" t="s">
        <v>2219</v>
      </c>
      <c r="E499" s="701" t="s">
        <v>8379</v>
      </c>
      <c r="F499" s="566">
        <v>1</v>
      </c>
      <c r="G499" s="662">
        <v>65926.840684305775</v>
      </c>
      <c r="H499" s="662">
        <v>68330.029672757111</v>
      </c>
      <c r="I499" s="662">
        <v>0</v>
      </c>
      <c r="J499" s="662">
        <v>0</v>
      </c>
      <c r="K499" s="566" t="s">
        <v>3032</v>
      </c>
      <c r="L499" s="549"/>
      <c r="M499" s="654"/>
      <c r="O499" s="668"/>
      <c r="S499" s="550"/>
      <c r="T499" s="547"/>
      <c r="U499" s="547"/>
      <c r="V499" s="547"/>
      <c r="W499" s="549"/>
    </row>
    <row r="500" spans="1:23">
      <c r="A500" s="565">
        <v>1194</v>
      </c>
      <c r="B500" s="696" t="s">
        <v>5907</v>
      </c>
      <c r="C500" s="566">
        <f t="shared" si="7"/>
        <v>1194</v>
      </c>
      <c r="D500" s="700" t="s">
        <v>2219</v>
      </c>
      <c r="E500" s="701" t="s">
        <v>8380</v>
      </c>
      <c r="F500" s="566">
        <v>1</v>
      </c>
      <c r="G500" s="662">
        <v>64405.902628545315</v>
      </c>
      <c r="H500" s="662">
        <v>66754.512419552528</v>
      </c>
      <c r="I500" s="662">
        <v>69103.122210559741</v>
      </c>
      <c r="J500" s="662">
        <v>71575.314601720325</v>
      </c>
      <c r="K500" s="566" t="s">
        <v>3033</v>
      </c>
      <c r="L500" s="549"/>
      <c r="M500" s="654"/>
      <c r="O500" s="668"/>
      <c r="S500" s="550"/>
      <c r="T500" s="547"/>
      <c r="U500" s="547"/>
      <c r="V500" s="547"/>
      <c r="W500" s="549"/>
    </row>
    <row r="501" spans="1:23">
      <c r="A501" s="565">
        <v>1195</v>
      </c>
      <c r="B501" s="696" t="s">
        <v>5908</v>
      </c>
      <c r="C501" s="566">
        <f t="shared" si="7"/>
        <v>1195</v>
      </c>
      <c r="D501" s="700" t="s">
        <v>2219</v>
      </c>
      <c r="E501" s="701" t="s">
        <v>8381</v>
      </c>
      <c r="F501" s="566">
        <v>1</v>
      </c>
      <c r="G501" s="662">
        <v>65308.39899869416</v>
      </c>
      <c r="H501" s="662">
        <v>67688.185025865168</v>
      </c>
      <c r="I501" s="662">
        <v>0</v>
      </c>
      <c r="J501" s="662">
        <v>0</v>
      </c>
      <c r="K501" s="566" t="s">
        <v>3034</v>
      </c>
      <c r="L501" s="549"/>
      <c r="M501" s="654"/>
      <c r="O501" s="668"/>
      <c r="S501" s="550"/>
      <c r="T501" s="547"/>
      <c r="U501" s="547"/>
      <c r="V501" s="547"/>
      <c r="W501" s="549"/>
    </row>
    <row r="502" spans="1:23">
      <c r="A502" s="565">
        <v>1196</v>
      </c>
      <c r="B502" s="695" t="s">
        <v>5909</v>
      </c>
      <c r="C502" s="566">
        <f t="shared" si="7"/>
        <v>1196</v>
      </c>
      <c r="D502" s="699" t="s">
        <v>2219</v>
      </c>
      <c r="E502" s="701" t="s">
        <v>8382</v>
      </c>
      <c r="F502" s="567">
        <v>1</v>
      </c>
      <c r="G502" s="662">
        <v>63787.460942933678</v>
      </c>
      <c r="H502" s="662">
        <v>66112.709340975474</v>
      </c>
      <c r="I502" s="662">
        <v>0</v>
      </c>
      <c r="J502" s="662">
        <v>0</v>
      </c>
      <c r="K502" s="568" t="s">
        <v>3035</v>
      </c>
      <c r="L502" s="549"/>
      <c r="M502" s="654"/>
      <c r="O502" s="668"/>
      <c r="S502" s="550"/>
      <c r="T502" s="547"/>
      <c r="U502" s="547"/>
      <c r="V502" s="547"/>
      <c r="W502" s="549"/>
    </row>
    <row r="503" spans="1:23">
      <c r="A503" s="565">
        <v>1197</v>
      </c>
      <c r="B503" s="695" t="s">
        <v>5910</v>
      </c>
      <c r="C503" s="566">
        <f t="shared" si="7"/>
        <v>1197</v>
      </c>
      <c r="D503" s="699" t="s">
        <v>2219</v>
      </c>
      <c r="E503" s="701" t="s">
        <v>8383</v>
      </c>
      <c r="F503" s="567">
        <v>1</v>
      </c>
      <c r="G503" s="662">
        <v>0</v>
      </c>
      <c r="H503" s="662">
        <v>199895.50221135412</v>
      </c>
      <c r="I503" s="662">
        <v>0</v>
      </c>
      <c r="J503" s="662">
        <v>0</v>
      </c>
      <c r="K503" s="568" t="s">
        <v>3036</v>
      </c>
      <c r="L503" s="549"/>
      <c r="M503" s="654"/>
      <c r="O503" s="668"/>
      <c r="S503" s="550"/>
      <c r="T503" s="547"/>
      <c r="U503" s="547"/>
      <c r="V503" s="547"/>
      <c r="W503" s="549"/>
    </row>
    <row r="504" spans="1:23">
      <c r="A504" s="565">
        <v>1198</v>
      </c>
      <c r="B504" s="695" t="s">
        <v>5911</v>
      </c>
      <c r="C504" s="566">
        <f t="shared" si="7"/>
        <v>1198</v>
      </c>
      <c r="D504" s="699" t="s">
        <v>2219</v>
      </c>
      <c r="E504" s="701" t="s">
        <v>8384</v>
      </c>
      <c r="F504" s="567">
        <v>1</v>
      </c>
      <c r="G504" s="662">
        <v>48015.174890647351</v>
      </c>
      <c r="H504" s="662">
        <v>49474.231639656187</v>
      </c>
      <c r="I504" s="662">
        <v>50667.983378957484</v>
      </c>
      <c r="J504" s="662">
        <v>51924.571982554473</v>
      </c>
      <c r="K504" s="568" t="s">
        <v>3037</v>
      </c>
      <c r="L504" s="549"/>
      <c r="M504" s="654"/>
      <c r="O504" s="668"/>
      <c r="S504" s="550"/>
      <c r="T504" s="547"/>
      <c r="U504" s="547"/>
      <c r="V504" s="547"/>
      <c r="W504" s="549"/>
    </row>
    <row r="505" spans="1:23">
      <c r="A505" s="565">
        <v>1199</v>
      </c>
      <c r="B505" s="695" t="s">
        <v>5912</v>
      </c>
      <c r="C505" s="566">
        <f t="shared" si="7"/>
        <v>1199</v>
      </c>
      <c r="D505" s="699" t="s">
        <v>2219</v>
      </c>
      <c r="E505" s="701" t="s">
        <v>8385</v>
      </c>
      <c r="F505" s="567">
        <v>1</v>
      </c>
      <c r="G505" s="662">
        <v>36195.262662120753</v>
      </c>
      <c r="H505" s="662">
        <v>37077.190411728625</v>
      </c>
      <c r="I505" s="662">
        <v>38005.525629584481</v>
      </c>
      <c r="J505" s="662">
        <v>38982.740159211324</v>
      </c>
      <c r="K505" s="568" t="s">
        <v>1023</v>
      </c>
      <c r="L505" s="549"/>
      <c r="M505" s="654"/>
      <c r="O505" s="668"/>
      <c r="S505" s="550"/>
      <c r="T505" s="547"/>
      <c r="U505" s="547"/>
      <c r="V505" s="547"/>
      <c r="W505" s="549"/>
    </row>
    <row r="506" spans="1:23">
      <c r="A506" s="565">
        <v>1200</v>
      </c>
      <c r="B506" s="695" t="s">
        <v>5913</v>
      </c>
      <c r="C506" s="566">
        <f t="shared" si="7"/>
        <v>1200</v>
      </c>
      <c r="D506" s="699" t="s">
        <v>2219</v>
      </c>
      <c r="E506" s="701" t="s">
        <v>8386</v>
      </c>
      <c r="F506" s="567">
        <v>1</v>
      </c>
      <c r="G506" s="662">
        <v>0</v>
      </c>
      <c r="H506" s="662">
        <v>0</v>
      </c>
      <c r="I506" s="662">
        <v>42218.65297199224</v>
      </c>
      <c r="J506" s="662">
        <v>43228.85639074209</v>
      </c>
      <c r="K506" s="568" t="s">
        <v>4696</v>
      </c>
      <c r="L506" s="549"/>
      <c r="M506" s="654"/>
      <c r="O506" s="668"/>
      <c r="S506" s="550"/>
      <c r="T506" s="547"/>
      <c r="U506" s="547"/>
      <c r="V506" s="547"/>
      <c r="W506" s="549"/>
    </row>
    <row r="507" spans="1:23">
      <c r="A507" s="565">
        <v>1201</v>
      </c>
      <c r="B507" s="695" t="s">
        <v>5914</v>
      </c>
      <c r="C507" s="566">
        <f t="shared" si="7"/>
        <v>1201</v>
      </c>
      <c r="D507" s="699" t="s">
        <v>2219</v>
      </c>
      <c r="E507" s="701" t="s">
        <v>8387</v>
      </c>
      <c r="F507" s="567">
        <v>1</v>
      </c>
      <c r="G507" s="662">
        <v>43626.728872884029</v>
      </c>
      <c r="H507" s="662">
        <v>44701.943634818264</v>
      </c>
      <c r="I507" s="662">
        <v>45833.750603726883</v>
      </c>
      <c r="J507" s="662">
        <v>47025.123425953396</v>
      </c>
      <c r="K507" s="568" t="s">
        <v>1024</v>
      </c>
      <c r="L507" s="549"/>
      <c r="M507" s="654"/>
      <c r="O507" s="668"/>
      <c r="S507" s="550"/>
      <c r="T507" s="547"/>
      <c r="U507" s="547"/>
      <c r="V507" s="547"/>
      <c r="W507" s="549"/>
    </row>
    <row r="508" spans="1:23">
      <c r="A508" s="565">
        <v>1202</v>
      </c>
      <c r="B508" s="695" t="s">
        <v>5915</v>
      </c>
      <c r="C508" s="566">
        <f t="shared" si="7"/>
        <v>1202</v>
      </c>
      <c r="D508" s="699" t="s">
        <v>2219</v>
      </c>
      <c r="E508" s="701" t="s">
        <v>8388</v>
      </c>
      <c r="F508" s="567">
        <v>1</v>
      </c>
      <c r="G508" s="662">
        <v>0</v>
      </c>
      <c r="H508" s="662">
        <v>0</v>
      </c>
      <c r="I508" s="662">
        <v>49519.470259646427</v>
      </c>
      <c r="J508" s="662">
        <v>50714.374286905811</v>
      </c>
      <c r="K508" s="568" t="s">
        <v>4697</v>
      </c>
      <c r="L508" s="549"/>
      <c r="M508" s="654"/>
      <c r="O508" s="668"/>
      <c r="S508" s="550"/>
      <c r="T508" s="547"/>
      <c r="U508" s="547"/>
      <c r="V508" s="547"/>
      <c r="W508" s="549"/>
    </row>
    <row r="509" spans="1:23">
      <c r="A509" s="565">
        <v>1203</v>
      </c>
      <c r="B509" s="695" t="s">
        <v>5916</v>
      </c>
      <c r="C509" s="566">
        <f t="shared" si="7"/>
        <v>1203</v>
      </c>
      <c r="D509" s="699" t="s">
        <v>2219</v>
      </c>
      <c r="E509" s="701" t="s">
        <v>8389</v>
      </c>
      <c r="F509" s="567">
        <v>1</v>
      </c>
      <c r="G509" s="662">
        <v>39936.453384086875</v>
      </c>
      <c r="H509" s="662">
        <v>41420.442225484352</v>
      </c>
      <c r="I509" s="662">
        <v>42826.324203212767</v>
      </c>
      <c r="J509" s="662">
        <v>0</v>
      </c>
      <c r="K509" s="568" t="s">
        <v>1025</v>
      </c>
      <c r="L509" s="549"/>
      <c r="M509" s="654"/>
      <c r="O509" s="668"/>
      <c r="S509" s="550"/>
      <c r="T509" s="547"/>
      <c r="U509" s="547"/>
      <c r="V509" s="547"/>
      <c r="W509" s="549"/>
    </row>
    <row r="510" spans="1:23">
      <c r="A510" s="565">
        <v>1204</v>
      </c>
      <c r="B510" s="695" t="s">
        <v>5917</v>
      </c>
      <c r="C510" s="566">
        <f t="shared" si="7"/>
        <v>1204</v>
      </c>
      <c r="D510" s="699" t="s">
        <v>2219</v>
      </c>
      <c r="E510" s="701" t="s">
        <v>8390</v>
      </c>
      <c r="F510" s="567">
        <v>1</v>
      </c>
      <c r="G510" s="662">
        <v>40888.548597668887</v>
      </c>
      <c r="H510" s="662">
        <v>42409.948922462951</v>
      </c>
      <c r="I510" s="662">
        <v>43851.288672788338</v>
      </c>
      <c r="J510" s="662">
        <v>0</v>
      </c>
      <c r="K510" s="568" t="s">
        <v>1026</v>
      </c>
      <c r="L510" s="549"/>
      <c r="M510" s="654"/>
      <c r="O510" s="668"/>
      <c r="S510" s="550"/>
      <c r="T510" s="547"/>
      <c r="U510" s="547"/>
      <c r="V510" s="547"/>
      <c r="W510" s="549"/>
    </row>
    <row r="511" spans="1:23">
      <c r="A511" s="565">
        <v>1205</v>
      </c>
      <c r="B511" s="695" t="s">
        <v>5918</v>
      </c>
      <c r="C511" s="566">
        <f t="shared" si="7"/>
        <v>1205</v>
      </c>
      <c r="D511" s="699" t="s">
        <v>2219</v>
      </c>
      <c r="E511" s="701" t="s">
        <v>8391</v>
      </c>
      <c r="F511" s="567">
        <v>1</v>
      </c>
      <c r="G511" s="662">
        <v>43998.726295370172</v>
      </c>
      <c r="H511" s="662">
        <v>45642.337465926379</v>
      </c>
      <c r="I511" s="662">
        <v>45642.337465926379</v>
      </c>
      <c r="J511" s="662">
        <v>45642.337465926379</v>
      </c>
      <c r="K511" s="568" t="s">
        <v>1027</v>
      </c>
      <c r="L511" s="549"/>
      <c r="M511" s="654"/>
      <c r="O511" s="668"/>
      <c r="S511" s="550"/>
      <c r="T511" s="547"/>
      <c r="U511" s="547"/>
      <c r="V511" s="547"/>
      <c r="W511" s="549"/>
    </row>
    <row r="512" spans="1:23">
      <c r="A512" s="565">
        <v>1206</v>
      </c>
      <c r="B512" s="695" t="s">
        <v>5919</v>
      </c>
      <c r="C512" s="566">
        <f t="shared" si="7"/>
        <v>1206</v>
      </c>
      <c r="D512" s="699" t="s">
        <v>2219</v>
      </c>
      <c r="E512" s="701" t="s">
        <v>8392</v>
      </c>
      <c r="F512" s="567">
        <v>1</v>
      </c>
      <c r="G512" s="662">
        <v>41319.296980519517</v>
      </c>
      <c r="H512" s="662">
        <v>43015.284227830918</v>
      </c>
      <c r="I512" s="662">
        <v>44622.024303084043</v>
      </c>
      <c r="J512" s="662">
        <v>46313.31433081346</v>
      </c>
      <c r="K512" s="568" t="s">
        <v>1028</v>
      </c>
      <c r="L512" s="549"/>
      <c r="M512" s="654"/>
      <c r="O512" s="668"/>
      <c r="S512" s="550"/>
      <c r="T512" s="547"/>
      <c r="U512" s="547"/>
      <c r="V512" s="547"/>
      <c r="W512" s="549"/>
    </row>
    <row r="513" spans="1:23">
      <c r="A513" s="565">
        <v>1207</v>
      </c>
      <c r="B513" s="696" t="s">
        <v>5920</v>
      </c>
      <c r="C513" s="566">
        <f t="shared" si="7"/>
        <v>1207</v>
      </c>
      <c r="D513" s="700" t="s">
        <v>2219</v>
      </c>
      <c r="E513" s="701" t="s">
        <v>8393</v>
      </c>
      <c r="F513" s="566">
        <v>1</v>
      </c>
      <c r="G513" s="662">
        <v>0</v>
      </c>
      <c r="H513" s="662">
        <v>0</v>
      </c>
      <c r="I513" s="662">
        <v>54553.394998161413</v>
      </c>
      <c r="J513" s="662">
        <v>56429.664027129467</v>
      </c>
      <c r="K513" s="566" t="s">
        <v>3964</v>
      </c>
      <c r="L513" s="549"/>
      <c r="M513" s="654"/>
      <c r="O513" s="668"/>
      <c r="S513" s="550"/>
      <c r="T513" s="547"/>
      <c r="U513" s="547"/>
      <c r="V513" s="547"/>
      <c r="W513" s="549"/>
    </row>
    <row r="514" spans="1:23">
      <c r="A514" s="565">
        <v>1208</v>
      </c>
      <c r="B514" s="696" t="s">
        <v>5921</v>
      </c>
      <c r="C514" s="566">
        <f t="shared" si="7"/>
        <v>1208</v>
      </c>
      <c r="D514" s="700" t="s">
        <v>2220</v>
      </c>
      <c r="E514" s="701" t="s">
        <v>8394</v>
      </c>
      <c r="F514" s="566">
        <v>2</v>
      </c>
      <c r="G514" s="662">
        <v>10270.180475335414</v>
      </c>
      <c r="H514" s="662">
        <v>10574.756598784394</v>
      </c>
      <c r="I514" s="662">
        <v>10895.388652063752</v>
      </c>
      <c r="J514" s="662">
        <v>11232.903758831419</v>
      </c>
      <c r="K514" s="566" t="s">
        <v>1029</v>
      </c>
      <c r="L514" s="549"/>
      <c r="M514" s="654"/>
      <c r="O514" s="668"/>
      <c r="S514" s="550"/>
      <c r="T514" s="547"/>
      <c r="U514" s="547"/>
      <c r="V514" s="547"/>
      <c r="W514" s="549"/>
    </row>
    <row r="515" spans="1:23">
      <c r="A515" s="565">
        <v>1209</v>
      </c>
      <c r="B515" s="695" t="s">
        <v>5922</v>
      </c>
      <c r="C515" s="566">
        <f t="shared" si="7"/>
        <v>1209</v>
      </c>
      <c r="D515" s="699" t="s">
        <v>2220</v>
      </c>
      <c r="E515" s="701" t="s">
        <v>8395</v>
      </c>
      <c r="F515" s="567">
        <v>2</v>
      </c>
      <c r="G515" s="662">
        <v>12744.01025365798</v>
      </c>
      <c r="H515" s="662">
        <v>13161.805009577532</v>
      </c>
      <c r="I515" s="662">
        <v>13601.59152393142</v>
      </c>
      <c r="J515" s="662">
        <v>14064.537500707309</v>
      </c>
      <c r="K515" s="568" t="s">
        <v>1030</v>
      </c>
      <c r="L515" s="549"/>
      <c r="M515" s="654"/>
      <c r="O515" s="668"/>
      <c r="S515" s="550"/>
      <c r="T515" s="547"/>
      <c r="U515" s="547"/>
      <c r="V515" s="547"/>
      <c r="W515" s="549"/>
    </row>
    <row r="516" spans="1:23">
      <c r="A516" s="565">
        <v>1210</v>
      </c>
      <c r="B516" s="695" t="s">
        <v>5923</v>
      </c>
      <c r="C516" s="566">
        <f t="shared" si="7"/>
        <v>1210</v>
      </c>
      <c r="D516" s="699" t="s">
        <v>2220</v>
      </c>
      <c r="E516" s="701" t="s">
        <v>8396</v>
      </c>
      <c r="F516" s="567">
        <v>2</v>
      </c>
      <c r="G516" s="662">
        <v>14531.805790068087</v>
      </c>
      <c r="H516" s="662">
        <v>15014.310808637343</v>
      </c>
      <c r="I516" s="662">
        <v>15522.213388938286</v>
      </c>
      <c r="J516" s="662">
        <v>16056.827197957045</v>
      </c>
      <c r="K516" s="568" t="s">
        <v>1031</v>
      </c>
      <c r="L516" s="549"/>
      <c r="M516" s="654"/>
      <c r="O516" s="668"/>
      <c r="S516" s="550"/>
      <c r="T516" s="547"/>
      <c r="U516" s="547"/>
      <c r="V516" s="547"/>
      <c r="W516" s="549"/>
    </row>
    <row r="517" spans="1:23">
      <c r="A517" s="565">
        <v>1211</v>
      </c>
      <c r="B517" s="695" t="s">
        <v>5924</v>
      </c>
      <c r="C517" s="566">
        <f t="shared" si="7"/>
        <v>1211</v>
      </c>
      <c r="D517" s="699" t="s">
        <v>2220</v>
      </c>
      <c r="E517" s="701" t="s">
        <v>8397</v>
      </c>
      <c r="F517" s="567">
        <v>2</v>
      </c>
      <c r="G517" s="662">
        <v>14826.298909178022</v>
      </c>
      <c r="H517" s="662">
        <v>15322.281177938235</v>
      </c>
      <c r="I517" s="662">
        <v>15844.342169089603</v>
      </c>
      <c r="J517" s="662">
        <v>16393.892858283889</v>
      </c>
      <c r="K517" s="568" t="s">
        <v>1032</v>
      </c>
      <c r="L517" s="549"/>
      <c r="M517" s="654"/>
      <c r="O517" s="668"/>
      <c r="S517" s="550"/>
      <c r="T517" s="547"/>
      <c r="U517" s="547"/>
      <c r="V517" s="547"/>
      <c r="W517" s="549"/>
    </row>
    <row r="518" spans="1:23">
      <c r="A518" s="565">
        <v>1212</v>
      </c>
      <c r="B518" s="696" t="s">
        <v>5925</v>
      </c>
      <c r="C518" s="566">
        <f t="shared" si="7"/>
        <v>1212</v>
      </c>
      <c r="D518" s="700" t="s">
        <v>2220</v>
      </c>
      <c r="E518" s="701" t="s">
        <v>8398</v>
      </c>
      <c r="F518" s="566">
        <v>2</v>
      </c>
      <c r="G518" s="662">
        <v>18772.642937383109</v>
      </c>
      <c r="H518" s="662">
        <v>19449.230089568657</v>
      </c>
      <c r="I518" s="662">
        <v>20161.432213377946</v>
      </c>
      <c r="J518" s="662">
        <v>20911.098173458129</v>
      </c>
      <c r="K518" s="566" t="s">
        <v>1033</v>
      </c>
      <c r="L518" s="549"/>
      <c r="M518" s="654"/>
      <c r="O518" s="668"/>
      <c r="S518" s="550"/>
      <c r="T518" s="547"/>
      <c r="U518" s="547"/>
      <c r="V518" s="547"/>
      <c r="W518" s="549"/>
    </row>
    <row r="519" spans="1:23">
      <c r="A519" s="565">
        <v>1213</v>
      </c>
      <c r="B519" s="695" t="s">
        <v>5926</v>
      </c>
      <c r="C519" s="566">
        <f t="shared" si="7"/>
        <v>1213</v>
      </c>
      <c r="D519" s="699" t="s">
        <v>2220</v>
      </c>
      <c r="E519" s="701" t="s">
        <v>8399</v>
      </c>
      <c r="F519" s="567">
        <v>2</v>
      </c>
      <c r="G519" s="662">
        <v>21376.014656994423</v>
      </c>
      <c r="H519" s="662">
        <v>22171.7562702545</v>
      </c>
      <c r="I519" s="662">
        <v>23009.340609739193</v>
      </c>
      <c r="J519" s="662">
        <v>23891.00577475821</v>
      </c>
      <c r="K519" s="568" t="s">
        <v>1034</v>
      </c>
      <c r="L519" s="549"/>
      <c r="M519" s="654"/>
      <c r="O519" s="668"/>
      <c r="S519" s="550"/>
      <c r="T519" s="547"/>
      <c r="U519" s="547"/>
      <c r="V519" s="547"/>
      <c r="W519" s="549"/>
    </row>
    <row r="520" spans="1:23">
      <c r="A520" s="565">
        <v>1214</v>
      </c>
      <c r="B520" s="695" t="s">
        <v>5927</v>
      </c>
      <c r="C520" s="566">
        <f t="shared" si="7"/>
        <v>1214</v>
      </c>
      <c r="D520" s="699" t="s">
        <v>2220</v>
      </c>
      <c r="E520" s="701" t="s">
        <v>8400</v>
      </c>
      <c r="F520" s="567">
        <v>1</v>
      </c>
      <c r="G520" s="662">
        <v>0</v>
      </c>
      <c r="H520" s="662">
        <v>12190.988782416203</v>
      </c>
      <c r="I520" s="662">
        <v>12525.021657999185</v>
      </c>
      <c r="J520" s="662">
        <v>12876.656606738721</v>
      </c>
      <c r="K520" s="568" t="s">
        <v>3965</v>
      </c>
      <c r="L520" s="549"/>
      <c r="M520" s="654"/>
      <c r="O520" s="668"/>
      <c r="S520" s="550"/>
      <c r="T520" s="547"/>
      <c r="U520" s="547"/>
      <c r="V520" s="547"/>
      <c r="W520" s="549"/>
    </row>
    <row r="521" spans="1:23">
      <c r="A521" s="565">
        <v>1215</v>
      </c>
      <c r="B521" s="696" t="s">
        <v>5928</v>
      </c>
      <c r="C521" s="566">
        <f t="shared" ref="C521:C584" si="8">A521</f>
        <v>1215</v>
      </c>
      <c r="D521" s="700" t="s">
        <v>2221</v>
      </c>
      <c r="E521" s="701" t="s">
        <v>8401</v>
      </c>
      <c r="F521" s="566">
        <v>1</v>
      </c>
      <c r="G521" s="662">
        <v>0</v>
      </c>
      <c r="H521" s="662">
        <v>28974.686681011306</v>
      </c>
      <c r="I521" s="662">
        <v>29626.015014454693</v>
      </c>
      <c r="J521" s="662">
        <v>0</v>
      </c>
      <c r="K521" s="566" t="s">
        <v>3038</v>
      </c>
      <c r="L521" s="549"/>
      <c r="M521" s="654"/>
      <c r="O521" s="652"/>
      <c r="S521" s="550"/>
      <c r="T521" s="547"/>
      <c r="U521" s="547"/>
      <c r="V521" s="547"/>
      <c r="W521" s="549"/>
    </row>
    <row r="522" spans="1:23">
      <c r="A522" s="565">
        <v>1216</v>
      </c>
      <c r="B522" s="696" t="s">
        <v>5929</v>
      </c>
      <c r="C522" s="566">
        <f t="shared" si="8"/>
        <v>1216</v>
      </c>
      <c r="D522" s="700" t="s">
        <v>2221</v>
      </c>
      <c r="E522" s="701" t="s">
        <v>8402</v>
      </c>
      <c r="F522" s="566">
        <v>1</v>
      </c>
      <c r="G522" s="662">
        <v>0</v>
      </c>
      <c r="H522" s="662">
        <v>20258.519108850043</v>
      </c>
      <c r="I522" s="662">
        <v>20697.116675684185</v>
      </c>
      <c r="J522" s="662">
        <v>21158.814575137334</v>
      </c>
      <c r="K522" s="566" t="s">
        <v>3039</v>
      </c>
      <c r="L522" s="549"/>
      <c r="M522" s="654"/>
      <c r="O522" s="652"/>
      <c r="S522" s="550"/>
      <c r="T522" s="547"/>
      <c r="U522" s="547"/>
      <c r="V522" s="547"/>
      <c r="W522" s="549"/>
    </row>
    <row r="523" spans="1:23">
      <c r="A523" s="565">
        <v>1217</v>
      </c>
      <c r="B523" s="696" t="s">
        <v>5930</v>
      </c>
      <c r="C523" s="566">
        <f t="shared" si="8"/>
        <v>1217</v>
      </c>
      <c r="D523" s="700" t="s">
        <v>2221</v>
      </c>
      <c r="E523" s="701" t="s">
        <v>8403</v>
      </c>
      <c r="F523" s="566">
        <v>1</v>
      </c>
      <c r="G523" s="662">
        <v>0</v>
      </c>
      <c r="H523" s="662">
        <v>22437.561001890361</v>
      </c>
      <c r="I523" s="662">
        <v>22929.348277488789</v>
      </c>
      <c r="J523" s="662">
        <v>23447.042730495894</v>
      </c>
      <c r="K523" s="566" t="s">
        <v>3040</v>
      </c>
      <c r="L523" s="549"/>
      <c r="M523" s="654"/>
      <c r="O523" s="652"/>
      <c r="S523" s="550"/>
      <c r="T523" s="547"/>
      <c r="U523" s="547"/>
      <c r="V523" s="547"/>
      <c r="W523" s="549"/>
    </row>
    <row r="524" spans="1:23">
      <c r="A524" s="565">
        <v>1218</v>
      </c>
      <c r="B524" s="696" t="s">
        <v>5931</v>
      </c>
      <c r="C524" s="566">
        <f t="shared" si="8"/>
        <v>1218</v>
      </c>
      <c r="D524" s="700" t="s">
        <v>2221</v>
      </c>
      <c r="E524" s="701" t="s">
        <v>8404</v>
      </c>
      <c r="F524" s="566">
        <v>1</v>
      </c>
      <c r="G524" s="662">
        <v>0</v>
      </c>
      <c r="H524" s="662">
        <v>18079.477215809722</v>
      </c>
      <c r="I524" s="662">
        <v>18464.913142327481</v>
      </c>
      <c r="J524" s="662">
        <v>18870.642556674567</v>
      </c>
      <c r="K524" s="566" t="s">
        <v>3041</v>
      </c>
      <c r="L524" s="549"/>
      <c r="M524" s="654"/>
      <c r="O524" s="652"/>
      <c r="S524" s="550"/>
      <c r="T524" s="547"/>
      <c r="U524" s="547"/>
      <c r="V524" s="547"/>
      <c r="W524" s="549"/>
    </row>
    <row r="525" spans="1:23">
      <c r="A525" s="565">
        <v>1219</v>
      </c>
      <c r="B525" s="696" t="s">
        <v>5932</v>
      </c>
      <c r="C525" s="566">
        <f t="shared" si="8"/>
        <v>1219</v>
      </c>
      <c r="D525" s="700" t="s">
        <v>2221</v>
      </c>
      <c r="E525" s="701" t="s">
        <v>8405</v>
      </c>
      <c r="F525" s="566">
        <v>1</v>
      </c>
      <c r="G525" s="662">
        <v>0</v>
      </c>
      <c r="H525" s="662">
        <v>0</v>
      </c>
      <c r="I525" s="662">
        <v>30446.616120682655</v>
      </c>
      <c r="J525" s="662">
        <v>0</v>
      </c>
      <c r="K525" s="566" t="s">
        <v>4698</v>
      </c>
      <c r="L525" s="549"/>
      <c r="M525" s="654"/>
      <c r="O525" s="652"/>
      <c r="S525" s="550"/>
      <c r="T525" s="547"/>
      <c r="U525" s="547"/>
      <c r="V525" s="547"/>
      <c r="W525" s="549"/>
    </row>
    <row r="526" spans="1:23">
      <c r="A526" s="565">
        <v>1220</v>
      </c>
      <c r="B526" s="695" t="s">
        <v>5933</v>
      </c>
      <c r="C526" s="566">
        <f t="shared" si="8"/>
        <v>1220</v>
      </c>
      <c r="D526" s="699" t="s">
        <v>2221</v>
      </c>
      <c r="E526" s="701" t="s">
        <v>8406</v>
      </c>
      <c r="F526" s="567">
        <v>1</v>
      </c>
      <c r="G526" s="662">
        <v>0</v>
      </c>
      <c r="H526" s="662">
        <v>33877.53094035203</v>
      </c>
      <c r="I526" s="662">
        <v>34648.515067179127</v>
      </c>
      <c r="J526" s="662">
        <v>35460.114238112787</v>
      </c>
      <c r="K526" s="568" t="s">
        <v>3042</v>
      </c>
      <c r="L526" s="549"/>
      <c r="M526" s="654"/>
      <c r="O526" s="652"/>
      <c r="S526" s="550"/>
      <c r="T526" s="547"/>
      <c r="U526" s="547"/>
      <c r="V526" s="547"/>
      <c r="W526" s="549"/>
    </row>
    <row r="527" spans="1:23">
      <c r="A527" s="565">
        <v>1221</v>
      </c>
      <c r="B527" s="695" t="s">
        <v>5934</v>
      </c>
      <c r="C527" s="566">
        <f t="shared" si="8"/>
        <v>1221</v>
      </c>
      <c r="D527" s="699" t="s">
        <v>2221</v>
      </c>
      <c r="E527" s="701" t="s">
        <v>8407</v>
      </c>
      <c r="F527" s="567">
        <v>1</v>
      </c>
      <c r="G527" s="662">
        <v>0</v>
      </c>
      <c r="H527" s="662">
        <v>32618.233721277054</v>
      </c>
      <c r="I527" s="662">
        <v>33440.274354828289</v>
      </c>
      <c r="J527" s="662">
        <v>34305.596535036275</v>
      </c>
      <c r="K527" s="568" t="s">
        <v>4699</v>
      </c>
      <c r="L527" s="549"/>
      <c r="M527" s="654"/>
      <c r="O527" s="652"/>
      <c r="S527" s="550"/>
      <c r="T527" s="547"/>
      <c r="U527" s="547"/>
      <c r="V527" s="547"/>
      <c r="W527" s="549"/>
    </row>
    <row r="528" spans="1:23">
      <c r="A528" s="565">
        <v>1222</v>
      </c>
      <c r="B528" s="695" t="s">
        <v>5935</v>
      </c>
      <c r="C528" s="566">
        <f t="shared" si="8"/>
        <v>1222</v>
      </c>
      <c r="D528" s="699" t="s">
        <v>2221</v>
      </c>
      <c r="E528" s="701" t="s">
        <v>8408</v>
      </c>
      <c r="F528" s="567">
        <v>1</v>
      </c>
      <c r="G528" s="662">
        <v>0</v>
      </c>
      <c r="H528" s="662">
        <v>28429.926207751225</v>
      </c>
      <c r="I528" s="662">
        <v>29067.978165339464</v>
      </c>
      <c r="J528" s="662">
        <v>29739.628055060079</v>
      </c>
      <c r="K528" s="568" t="s">
        <v>3043</v>
      </c>
      <c r="L528" s="549"/>
      <c r="M528" s="654"/>
      <c r="O528" s="652"/>
      <c r="S528" s="550"/>
      <c r="T528" s="547"/>
      <c r="U528" s="547"/>
      <c r="V528" s="547"/>
      <c r="W528" s="549"/>
    </row>
    <row r="529" spans="1:23">
      <c r="A529" s="565">
        <v>1223</v>
      </c>
      <c r="B529" s="696" t="s">
        <v>5936</v>
      </c>
      <c r="C529" s="566">
        <f t="shared" si="8"/>
        <v>1223</v>
      </c>
      <c r="D529" s="700" t="s">
        <v>2221</v>
      </c>
      <c r="E529" s="701" t="s">
        <v>8409</v>
      </c>
      <c r="F529" s="566">
        <v>1</v>
      </c>
      <c r="G529" s="662">
        <v>8488.7558732953676</v>
      </c>
      <c r="H529" s="662">
        <v>8680.5966516878252</v>
      </c>
      <c r="I529" s="662">
        <v>0</v>
      </c>
      <c r="J529" s="662">
        <v>0</v>
      </c>
      <c r="K529" s="566" t="s">
        <v>1035</v>
      </c>
      <c r="L529" s="549"/>
      <c r="M529" s="654"/>
      <c r="O529" s="652"/>
      <c r="S529" s="550"/>
      <c r="T529" s="547"/>
      <c r="U529" s="547"/>
      <c r="V529" s="547"/>
      <c r="W529" s="549"/>
    </row>
    <row r="530" spans="1:23">
      <c r="A530" s="565">
        <v>1224</v>
      </c>
      <c r="B530" s="695" t="s">
        <v>5937</v>
      </c>
      <c r="C530" s="566">
        <f t="shared" si="8"/>
        <v>1224</v>
      </c>
      <c r="D530" s="699" t="s">
        <v>2221</v>
      </c>
      <c r="E530" s="701" t="s">
        <v>8410</v>
      </c>
      <c r="F530" s="567">
        <v>1</v>
      </c>
      <c r="G530" s="662">
        <v>9138.1678918603284</v>
      </c>
      <c r="H530" s="662">
        <v>9350.1010329825531</v>
      </c>
      <c r="I530" s="662">
        <v>9573.1354338778492</v>
      </c>
      <c r="J530" s="662">
        <v>9807.9591891602413</v>
      </c>
      <c r="K530" s="568" t="s">
        <v>1036</v>
      </c>
      <c r="L530" s="549"/>
      <c r="M530" s="654"/>
      <c r="O530" s="652"/>
      <c r="S530" s="550"/>
      <c r="T530" s="547"/>
      <c r="U530" s="547"/>
      <c r="V530" s="547"/>
      <c r="W530" s="549"/>
    </row>
    <row r="531" spans="1:23">
      <c r="A531" s="565">
        <v>1225</v>
      </c>
      <c r="B531" s="695" t="s">
        <v>5938</v>
      </c>
      <c r="C531" s="566">
        <f t="shared" si="8"/>
        <v>1225</v>
      </c>
      <c r="D531" s="699" t="s">
        <v>2221</v>
      </c>
      <c r="E531" s="701" t="s">
        <v>8411</v>
      </c>
      <c r="F531" s="567">
        <v>1</v>
      </c>
      <c r="G531" s="662">
        <v>9884.9917132100272</v>
      </c>
      <c r="H531" s="662">
        <v>10119.998960389501</v>
      </c>
      <c r="I531" s="662">
        <v>0</v>
      </c>
      <c r="J531" s="662">
        <v>0</v>
      </c>
      <c r="K531" s="568" t="s">
        <v>1037</v>
      </c>
      <c r="L531" s="549"/>
      <c r="M531" s="654"/>
      <c r="O531" s="652"/>
      <c r="S531" s="550"/>
      <c r="T531" s="547"/>
      <c r="U531" s="547"/>
      <c r="V531" s="547"/>
      <c r="W531" s="549"/>
    </row>
    <row r="532" spans="1:23">
      <c r="A532" s="565">
        <v>1226</v>
      </c>
      <c r="B532" s="696" t="s">
        <v>5939</v>
      </c>
      <c r="C532" s="566">
        <f t="shared" si="8"/>
        <v>1226</v>
      </c>
      <c r="D532" s="700" t="s">
        <v>2221</v>
      </c>
      <c r="E532" s="701" t="s">
        <v>8412</v>
      </c>
      <c r="F532" s="566">
        <v>2</v>
      </c>
      <c r="G532" s="662">
        <v>18627.421954023841</v>
      </c>
      <c r="H532" s="662">
        <v>19069.725816403989</v>
      </c>
      <c r="I532" s="662">
        <v>19535.311896719551</v>
      </c>
      <c r="J532" s="662">
        <v>20025.404041219961</v>
      </c>
      <c r="K532" s="566" t="s">
        <v>1038</v>
      </c>
      <c r="L532" s="549"/>
      <c r="M532" s="654"/>
      <c r="O532" s="652"/>
      <c r="S532" s="550"/>
      <c r="T532" s="547"/>
      <c r="U532" s="547"/>
      <c r="V532" s="547"/>
      <c r="W532" s="549"/>
    </row>
    <row r="533" spans="1:23">
      <c r="A533" s="565">
        <v>1227</v>
      </c>
      <c r="B533" s="696" t="s">
        <v>5940</v>
      </c>
      <c r="C533" s="566">
        <f t="shared" si="8"/>
        <v>1227</v>
      </c>
      <c r="D533" s="700" t="s">
        <v>2221</v>
      </c>
      <c r="E533" s="701" t="s">
        <v>8413</v>
      </c>
      <c r="F533" s="566">
        <v>1</v>
      </c>
      <c r="G533" s="662">
        <v>0</v>
      </c>
      <c r="H533" s="662">
        <v>0</v>
      </c>
      <c r="I533" s="662">
        <v>0</v>
      </c>
      <c r="J533" s="662">
        <v>24615.42894403715</v>
      </c>
      <c r="K533" s="566" t="s">
        <v>4700</v>
      </c>
      <c r="L533" s="549"/>
      <c r="M533" s="654"/>
      <c r="O533" s="652"/>
      <c r="S533" s="550"/>
      <c r="T533" s="547"/>
      <c r="U533" s="547"/>
      <c r="V533" s="547"/>
      <c r="W533" s="549"/>
    </row>
    <row r="534" spans="1:23">
      <c r="A534" s="565">
        <v>1228</v>
      </c>
      <c r="B534" s="696" t="s">
        <v>5941</v>
      </c>
      <c r="C534" s="566">
        <f t="shared" si="8"/>
        <v>1228</v>
      </c>
      <c r="D534" s="700" t="s">
        <v>2221</v>
      </c>
      <c r="E534" s="701" t="s">
        <v>8414</v>
      </c>
      <c r="F534" s="566">
        <v>1</v>
      </c>
      <c r="G534" s="662">
        <v>0</v>
      </c>
      <c r="H534" s="662">
        <v>0</v>
      </c>
      <c r="I534" s="662">
        <v>25496.239904511996</v>
      </c>
      <c r="J534" s="662">
        <v>26310.430833706294</v>
      </c>
      <c r="K534" s="566" t="s">
        <v>3966</v>
      </c>
      <c r="L534" s="549"/>
      <c r="M534" s="654"/>
      <c r="O534" s="652"/>
      <c r="S534" s="550"/>
      <c r="T534" s="547"/>
      <c r="U534" s="547"/>
      <c r="V534" s="547"/>
      <c r="W534" s="549"/>
    </row>
    <row r="535" spans="1:23">
      <c r="A535" s="565">
        <v>1229</v>
      </c>
      <c r="B535" s="696" t="s">
        <v>5942</v>
      </c>
      <c r="C535" s="566">
        <f t="shared" si="8"/>
        <v>1229</v>
      </c>
      <c r="D535" s="700" t="s">
        <v>2221</v>
      </c>
      <c r="E535" s="701" t="s">
        <v>8415</v>
      </c>
      <c r="F535" s="566">
        <v>1</v>
      </c>
      <c r="G535" s="662">
        <v>0</v>
      </c>
      <c r="H535" s="662">
        <v>0</v>
      </c>
      <c r="I535" s="662">
        <v>21155.100170743146</v>
      </c>
      <c r="J535" s="662">
        <v>21817.020528997371</v>
      </c>
      <c r="K535" s="566" t="s">
        <v>3967</v>
      </c>
      <c r="L535" s="549"/>
      <c r="M535" s="654"/>
      <c r="O535" s="652"/>
      <c r="S535" s="550"/>
      <c r="T535" s="547"/>
      <c r="U535" s="547"/>
      <c r="V535" s="547"/>
      <c r="W535" s="549"/>
    </row>
    <row r="536" spans="1:23">
      <c r="A536" s="565">
        <v>1230</v>
      </c>
      <c r="B536" s="696" t="s">
        <v>5943</v>
      </c>
      <c r="C536" s="566">
        <f t="shared" si="8"/>
        <v>1230</v>
      </c>
      <c r="D536" s="700" t="s">
        <v>2221</v>
      </c>
      <c r="E536" s="701" t="s">
        <v>8416</v>
      </c>
      <c r="F536" s="566">
        <v>1</v>
      </c>
      <c r="G536" s="662">
        <v>0</v>
      </c>
      <c r="H536" s="662">
        <v>0</v>
      </c>
      <c r="I536" s="662">
        <v>19896.798798636228</v>
      </c>
      <c r="J536" s="662">
        <v>20514.547644879694</v>
      </c>
      <c r="K536" s="566" t="s">
        <v>3968</v>
      </c>
      <c r="L536" s="549"/>
      <c r="M536" s="654"/>
      <c r="O536" s="652"/>
      <c r="S536" s="550"/>
      <c r="T536" s="547"/>
      <c r="U536" s="547"/>
      <c r="V536" s="547"/>
      <c r="W536" s="549"/>
    </row>
    <row r="537" spans="1:23">
      <c r="A537" s="565">
        <v>1231</v>
      </c>
      <c r="B537" s="696" t="s">
        <v>5944</v>
      </c>
      <c r="C537" s="566">
        <f t="shared" si="8"/>
        <v>1231</v>
      </c>
      <c r="D537" s="700" t="s">
        <v>2221</v>
      </c>
      <c r="E537" s="701" t="s">
        <v>8417</v>
      </c>
      <c r="F537" s="566">
        <v>1</v>
      </c>
      <c r="G537" s="662">
        <v>10537.596383103149</v>
      </c>
      <c r="H537" s="662">
        <v>10816.239343948653</v>
      </c>
      <c r="I537" s="662">
        <v>11094.069709018881</v>
      </c>
      <c r="J537" s="662">
        <v>11401.966117774284</v>
      </c>
      <c r="K537" s="566" t="s">
        <v>1039</v>
      </c>
      <c r="L537" s="549"/>
      <c r="M537" s="654"/>
      <c r="O537" s="652"/>
      <c r="S537" s="550"/>
      <c r="T537" s="547"/>
      <c r="U537" s="547"/>
      <c r="V537" s="547"/>
      <c r="W537" s="549"/>
    </row>
    <row r="538" spans="1:23">
      <c r="A538" s="565">
        <v>1232</v>
      </c>
      <c r="B538" s="696" t="s">
        <v>5945</v>
      </c>
      <c r="C538" s="566">
        <f t="shared" si="8"/>
        <v>1232</v>
      </c>
      <c r="D538" s="700" t="s">
        <v>2221</v>
      </c>
      <c r="E538" s="701" t="s">
        <v>8418</v>
      </c>
      <c r="F538" s="566">
        <v>1</v>
      </c>
      <c r="G538" s="662">
        <v>9784.9866621418096</v>
      </c>
      <c r="H538" s="662">
        <v>10038.206983732276</v>
      </c>
      <c r="I538" s="662">
        <v>10304.738398022489</v>
      </c>
      <c r="J538" s="662">
        <v>10585.277415676965</v>
      </c>
      <c r="K538" s="566" t="s">
        <v>1040</v>
      </c>
      <c r="L538" s="549"/>
      <c r="M538" s="654"/>
      <c r="O538" s="652"/>
      <c r="S538" s="550"/>
      <c r="T538" s="547"/>
      <c r="U538" s="547"/>
      <c r="V538" s="547"/>
      <c r="W538" s="549"/>
    </row>
    <row r="539" spans="1:23">
      <c r="A539" s="565">
        <v>1233</v>
      </c>
      <c r="B539" s="696" t="s">
        <v>5946</v>
      </c>
      <c r="C539" s="566">
        <f t="shared" si="8"/>
        <v>1233</v>
      </c>
      <c r="D539" s="700" t="s">
        <v>2221</v>
      </c>
      <c r="E539" s="701" t="s">
        <v>8419</v>
      </c>
      <c r="F539" s="566">
        <v>1</v>
      </c>
      <c r="G539" s="662">
        <v>9994.8489881791029</v>
      </c>
      <c r="H539" s="662">
        <v>0</v>
      </c>
      <c r="I539" s="662">
        <v>0</v>
      </c>
      <c r="J539" s="662">
        <v>0</v>
      </c>
      <c r="K539" s="566" t="s">
        <v>5243</v>
      </c>
      <c r="L539" s="549"/>
      <c r="M539" s="654"/>
      <c r="O539" s="652"/>
      <c r="S539" s="550"/>
      <c r="T539" s="547"/>
      <c r="U539" s="547"/>
      <c r="V539" s="547"/>
      <c r="W539" s="549"/>
    </row>
    <row r="540" spans="1:23">
      <c r="A540" s="565">
        <v>1234</v>
      </c>
      <c r="B540" s="696" t="s">
        <v>5947</v>
      </c>
      <c r="C540" s="566">
        <f t="shared" si="8"/>
        <v>1234</v>
      </c>
      <c r="D540" s="700" t="s">
        <v>2221</v>
      </c>
      <c r="E540" s="701" t="s">
        <v>8420</v>
      </c>
      <c r="F540" s="566">
        <v>1</v>
      </c>
      <c r="G540" s="662">
        <v>9242.239267217763</v>
      </c>
      <c r="H540" s="662">
        <v>9477.1181413091672</v>
      </c>
      <c r="I540" s="662">
        <v>9724.340732177363</v>
      </c>
      <c r="J540" s="662">
        <v>9984.6035504868851</v>
      </c>
      <c r="K540" s="566" t="s">
        <v>1041</v>
      </c>
      <c r="L540" s="549"/>
      <c r="M540" s="654"/>
      <c r="O540" s="652"/>
      <c r="S540" s="550"/>
      <c r="T540" s="547"/>
      <c r="U540" s="547"/>
      <c r="V540" s="547"/>
      <c r="W540" s="549"/>
    </row>
    <row r="541" spans="1:23">
      <c r="A541" s="565">
        <v>1235</v>
      </c>
      <c r="B541" s="695" t="s">
        <v>5948</v>
      </c>
      <c r="C541" s="566">
        <f t="shared" si="8"/>
        <v>1235</v>
      </c>
      <c r="D541" s="699" t="s">
        <v>2221</v>
      </c>
      <c r="E541" s="701" t="s">
        <v>8421</v>
      </c>
      <c r="F541" s="567">
        <v>1</v>
      </c>
      <c r="G541" s="662">
        <v>11824.289252458719</v>
      </c>
      <c r="H541" s="662">
        <v>12158.033945875248</v>
      </c>
      <c r="I541" s="662">
        <v>12509.346186052488</v>
      </c>
      <c r="J541" s="662">
        <v>12879.115958839553</v>
      </c>
      <c r="K541" s="568" t="s">
        <v>1042</v>
      </c>
      <c r="L541" s="549"/>
      <c r="M541" s="654"/>
      <c r="O541" s="652"/>
      <c r="S541" s="550"/>
      <c r="T541" s="547"/>
      <c r="U541" s="547"/>
      <c r="V541" s="547"/>
      <c r="W541" s="549"/>
    </row>
    <row r="542" spans="1:23">
      <c r="A542" s="565">
        <v>1236</v>
      </c>
      <c r="B542" s="695" t="s">
        <v>5949</v>
      </c>
      <c r="C542" s="566">
        <f t="shared" si="8"/>
        <v>1236</v>
      </c>
      <c r="D542" s="699" t="s">
        <v>2221</v>
      </c>
      <c r="E542" s="701" t="s">
        <v>8422</v>
      </c>
      <c r="F542" s="567">
        <v>1</v>
      </c>
      <c r="G542" s="662">
        <v>10859.40499481597</v>
      </c>
      <c r="H542" s="662">
        <v>11160.568467147663</v>
      </c>
      <c r="I542" s="662">
        <v>11297.278032578459</v>
      </c>
      <c r="J542" s="662">
        <v>11621.503746913197</v>
      </c>
      <c r="K542" s="568" t="s">
        <v>1043</v>
      </c>
      <c r="L542" s="549"/>
      <c r="M542" s="654"/>
      <c r="O542" s="652"/>
      <c r="S542" s="550"/>
      <c r="T542" s="547"/>
      <c r="U542" s="547"/>
      <c r="V542" s="547"/>
      <c r="W542" s="549"/>
    </row>
    <row r="543" spans="1:23">
      <c r="A543" s="565">
        <v>1237</v>
      </c>
      <c r="B543" s="695" t="s">
        <v>5950</v>
      </c>
      <c r="C543" s="566">
        <f t="shared" si="8"/>
        <v>1237</v>
      </c>
      <c r="D543" s="699" t="s">
        <v>2221</v>
      </c>
      <c r="E543" s="701" t="s">
        <v>8423</v>
      </c>
      <c r="F543" s="567">
        <v>1</v>
      </c>
      <c r="G543" s="662">
        <v>13342.636952292554</v>
      </c>
      <c r="H543" s="662">
        <v>0</v>
      </c>
      <c r="I543" s="662">
        <v>0</v>
      </c>
      <c r="J543" s="662">
        <v>0</v>
      </c>
      <c r="K543" s="568" t="s">
        <v>5244</v>
      </c>
      <c r="L543" s="549"/>
      <c r="M543" s="654"/>
      <c r="O543" s="652"/>
      <c r="S543" s="550"/>
      <c r="T543" s="547"/>
      <c r="U543" s="547"/>
      <c r="V543" s="547"/>
      <c r="W543" s="549"/>
    </row>
    <row r="544" spans="1:23">
      <c r="A544" s="565">
        <v>1238</v>
      </c>
      <c r="B544" s="695" t="s">
        <v>5951</v>
      </c>
      <c r="C544" s="566">
        <f t="shared" si="8"/>
        <v>1238</v>
      </c>
      <c r="D544" s="699" t="s">
        <v>2221</v>
      </c>
      <c r="E544" s="701" t="s">
        <v>8424</v>
      </c>
      <c r="F544" s="567">
        <v>1</v>
      </c>
      <c r="G544" s="662">
        <v>12439.66475371838</v>
      </c>
      <c r="H544" s="662">
        <v>0</v>
      </c>
      <c r="I544" s="662">
        <v>0</v>
      </c>
      <c r="J544" s="662">
        <v>0</v>
      </c>
      <c r="K544" s="568" t="s">
        <v>5245</v>
      </c>
      <c r="L544" s="549"/>
      <c r="M544" s="654"/>
      <c r="O544" s="652"/>
      <c r="S544" s="550"/>
      <c r="T544" s="547"/>
      <c r="U544" s="547"/>
      <c r="V544" s="547"/>
      <c r="W544" s="549"/>
    </row>
    <row r="545" spans="1:23">
      <c r="A545" s="565">
        <v>1239</v>
      </c>
      <c r="B545" s="695" t="s">
        <v>5952</v>
      </c>
      <c r="C545" s="566">
        <f t="shared" si="8"/>
        <v>1239</v>
      </c>
      <c r="D545" s="699" t="s">
        <v>2221</v>
      </c>
      <c r="E545" s="701" t="s">
        <v>8425</v>
      </c>
      <c r="F545" s="567">
        <v>1</v>
      </c>
      <c r="G545" s="662">
        <v>0</v>
      </c>
      <c r="H545" s="662">
        <v>15987.820428751909</v>
      </c>
      <c r="I545" s="662">
        <v>16908.68491732312</v>
      </c>
      <c r="J545" s="662">
        <v>17393.3402547193</v>
      </c>
      <c r="K545" s="568" t="s">
        <v>3044</v>
      </c>
      <c r="L545" s="549"/>
      <c r="M545" s="654"/>
      <c r="O545" s="652"/>
      <c r="S545" s="550"/>
      <c r="T545" s="547"/>
      <c r="U545" s="547"/>
      <c r="V545" s="547"/>
      <c r="W545" s="549"/>
    </row>
    <row r="546" spans="1:23">
      <c r="A546" s="565">
        <v>1240</v>
      </c>
      <c r="B546" s="696" t="s">
        <v>5953</v>
      </c>
      <c r="C546" s="566">
        <f t="shared" si="8"/>
        <v>1240</v>
      </c>
      <c r="D546" s="700" t="s">
        <v>2221</v>
      </c>
      <c r="E546" s="701" t="s">
        <v>8426</v>
      </c>
      <c r="F546" s="566">
        <v>1</v>
      </c>
      <c r="G546" s="662">
        <v>0</v>
      </c>
      <c r="H546" s="662">
        <v>0</v>
      </c>
      <c r="I546" s="662">
        <v>17831.566962358858</v>
      </c>
      <c r="J546" s="662">
        <v>18242.299355416086</v>
      </c>
      <c r="K546" s="566" t="s">
        <v>3969</v>
      </c>
      <c r="L546" s="549"/>
      <c r="M546" s="654"/>
      <c r="O546" s="652"/>
      <c r="S546" s="550"/>
      <c r="T546" s="547"/>
      <c r="U546" s="547"/>
      <c r="V546" s="547"/>
      <c r="W546" s="549"/>
    </row>
    <row r="547" spans="1:23">
      <c r="A547" s="565">
        <v>1241</v>
      </c>
      <c r="B547" s="695" t="s">
        <v>5954</v>
      </c>
      <c r="C547" s="566">
        <f t="shared" si="8"/>
        <v>1241</v>
      </c>
      <c r="D547" s="699" t="s">
        <v>2221</v>
      </c>
      <c r="E547" s="701" t="s">
        <v>8427</v>
      </c>
      <c r="F547" s="567">
        <v>1</v>
      </c>
      <c r="G547" s="662">
        <v>0</v>
      </c>
      <c r="H547" s="662">
        <v>0</v>
      </c>
      <c r="I547" s="662">
        <v>20018.652913052352</v>
      </c>
      <c r="J547" s="662">
        <v>20475.222721943705</v>
      </c>
      <c r="K547" s="568" t="s">
        <v>4701</v>
      </c>
      <c r="L547" s="549"/>
      <c r="M547" s="654"/>
      <c r="O547" s="652"/>
      <c r="S547" s="550"/>
      <c r="T547" s="547"/>
      <c r="U547" s="547"/>
      <c r="V547" s="547"/>
      <c r="W547" s="549"/>
    </row>
    <row r="548" spans="1:23">
      <c r="A548" s="565">
        <v>1242</v>
      </c>
      <c r="B548" s="695" t="s">
        <v>5955</v>
      </c>
      <c r="C548" s="566">
        <f t="shared" si="8"/>
        <v>1242</v>
      </c>
      <c r="D548" s="699" t="s">
        <v>2221</v>
      </c>
      <c r="E548" s="701" t="s">
        <v>8428</v>
      </c>
      <c r="F548" s="567">
        <v>1</v>
      </c>
      <c r="G548" s="662">
        <v>15780.085755542539</v>
      </c>
      <c r="H548" s="662">
        <v>16164.377489352528</v>
      </c>
      <c r="I548" s="662">
        <v>16568.864057390721</v>
      </c>
      <c r="J548" s="662">
        <v>16994.655828549396</v>
      </c>
      <c r="K548" s="568" t="s">
        <v>1044</v>
      </c>
      <c r="L548" s="549"/>
      <c r="M548" s="654"/>
      <c r="O548" s="652"/>
      <c r="S548" s="550"/>
      <c r="T548" s="547"/>
      <c r="U548" s="547"/>
      <c r="V548" s="547"/>
      <c r="W548" s="549"/>
    </row>
    <row r="549" spans="1:23">
      <c r="A549" s="565">
        <v>1243</v>
      </c>
      <c r="B549" s="696" t="s">
        <v>5956</v>
      </c>
      <c r="C549" s="566">
        <f t="shared" si="8"/>
        <v>1243</v>
      </c>
      <c r="D549" s="700" t="s">
        <v>2221</v>
      </c>
      <c r="E549" s="701" t="s">
        <v>8429</v>
      </c>
      <c r="F549" s="566">
        <v>1</v>
      </c>
      <c r="G549" s="662">
        <v>17130.095186299095</v>
      </c>
      <c r="H549" s="662">
        <v>17552.798743976131</v>
      </c>
      <c r="I549" s="662">
        <v>17997.779077554387</v>
      </c>
      <c r="J549" s="662">
        <v>18466.181254954026</v>
      </c>
      <c r="K549" s="566" t="s">
        <v>1045</v>
      </c>
      <c r="L549" s="549"/>
      <c r="M549" s="654"/>
      <c r="O549" s="652"/>
      <c r="S549" s="550"/>
      <c r="T549" s="547"/>
      <c r="U549" s="547"/>
      <c r="V549" s="547"/>
      <c r="W549" s="549"/>
    </row>
    <row r="550" spans="1:23">
      <c r="A550" s="565">
        <v>1244</v>
      </c>
      <c r="B550" s="696" t="s">
        <v>5957</v>
      </c>
      <c r="C550" s="566">
        <f t="shared" si="8"/>
        <v>1244</v>
      </c>
      <c r="D550" s="700" t="s">
        <v>2221</v>
      </c>
      <c r="E550" s="701" t="s">
        <v>8430</v>
      </c>
      <c r="F550" s="566">
        <v>1</v>
      </c>
      <c r="G550" s="662">
        <v>18472.177916437242</v>
      </c>
      <c r="H550" s="662">
        <v>18933.11980284192</v>
      </c>
      <c r="I550" s="662">
        <v>19418.31630973718</v>
      </c>
      <c r="J550" s="662">
        <v>19929.051301154708</v>
      </c>
      <c r="K550" s="566" t="s">
        <v>1046</v>
      </c>
      <c r="L550" s="549"/>
      <c r="M550" s="654"/>
      <c r="O550" s="652"/>
      <c r="S550" s="550"/>
      <c r="T550" s="547"/>
      <c r="U550" s="547"/>
      <c r="V550" s="547"/>
      <c r="W550" s="549"/>
    </row>
    <row r="551" spans="1:23">
      <c r="A551" s="565">
        <v>1245</v>
      </c>
      <c r="B551" s="696" t="s">
        <v>5958</v>
      </c>
      <c r="C551" s="566">
        <f t="shared" si="8"/>
        <v>1245</v>
      </c>
      <c r="D551" s="700" t="s">
        <v>2221</v>
      </c>
      <c r="E551" s="701" t="s">
        <v>8431</v>
      </c>
      <c r="F551" s="566">
        <v>1</v>
      </c>
      <c r="G551" s="662">
        <v>14152.353483818883</v>
      </c>
      <c r="H551" s="662">
        <v>0</v>
      </c>
      <c r="I551" s="662">
        <v>0</v>
      </c>
      <c r="J551" s="662">
        <v>0</v>
      </c>
      <c r="K551" s="566" t="s">
        <v>5246</v>
      </c>
      <c r="L551" s="549"/>
      <c r="M551" s="654"/>
      <c r="O551" s="652"/>
      <c r="S551" s="550"/>
      <c r="T551" s="547"/>
      <c r="U551" s="547"/>
      <c r="V551" s="547"/>
      <c r="W551" s="549"/>
    </row>
    <row r="552" spans="1:23">
      <c r="A552" s="565">
        <v>1246</v>
      </c>
      <c r="B552" s="696" t="s">
        <v>5959</v>
      </c>
      <c r="C552" s="566">
        <f t="shared" si="8"/>
        <v>1246</v>
      </c>
      <c r="D552" s="700" t="s">
        <v>2221</v>
      </c>
      <c r="E552" s="701" t="s">
        <v>8432</v>
      </c>
      <c r="F552" s="566">
        <v>1</v>
      </c>
      <c r="G552" s="662">
        <v>15055.49080442527</v>
      </c>
      <c r="H552" s="662">
        <v>15534.158240979916</v>
      </c>
      <c r="I552" s="662">
        <v>0</v>
      </c>
      <c r="J552" s="662">
        <v>0</v>
      </c>
      <c r="K552" s="566" t="s">
        <v>1047</v>
      </c>
      <c r="L552" s="549"/>
      <c r="M552" s="654"/>
      <c r="O552" s="652"/>
      <c r="S552" s="550"/>
      <c r="T552" s="547"/>
      <c r="U552" s="547"/>
      <c r="V552" s="547"/>
      <c r="W552" s="549"/>
    </row>
    <row r="553" spans="1:23">
      <c r="A553" s="565">
        <v>1247</v>
      </c>
      <c r="B553" s="696" t="s">
        <v>5960</v>
      </c>
      <c r="C553" s="566">
        <f t="shared" si="8"/>
        <v>1247</v>
      </c>
      <c r="D553" s="700" t="s">
        <v>2221</v>
      </c>
      <c r="E553" s="701" t="s">
        <v>8433</v>
      </c>
      <c r="F553" s="566">
        <v>1</v>
      </c>
      <c r="G553" s="662">
        <v>15055.49080442527</v>
      </c>
      <c r="H553" s="662">
        <v>15534.158240979916</v>
      </c>
      <c r="I553" s="662">
        <v>0</v>
      </c>
      <c r="J553" s="662">
        <v>0</v>
      </c>
      <c r="K553" s="566" t="s">
        <v>1048</v>
      </c>
      <c r="L553" s="549"/>
      <c r="M553" s="654"/>
      <c r="O553" s="652"/>
      <c r="S553" s="550"/>
      <c r="T553" s="547"/>
      <c r="U553" s="547"/>
      <c r="V553" s="547"/>
      <c r="W553" s="549"/>
    </row>
    <row r="554" spans="1:23">
      <c r="A554" s="565">
        <v>1248</v>
      </c>
      <c r="B554" s="696" t="s">
        <v>5961</v>
      </c>
      <c r="C554" s="566">
        <f t="shared" si="8"/>
        <v>1248</v>
      </c>
      <c r="D554" s="700" t="s">
        <v>2221</v>
      </c>
      <c r="E554" s="701" t="s">
        <v>8434</v>
      </c>
      <c r="F554" s="566">
        <v>1</v>
      </c>
      <c r="G554" s="662">
        <v>13335.147394826876</v>
      </c>
      <c r="H554" s="662">
        <v>13736.87686455537</v>
      </c>
      <c r="I554" s="662">
        <v>0</v>
      </c>
      <c r="J554" s="662">
        <v>0</v>
      </c>
      <c r="K554" s="566" t="s">
        <v>1049</v>
      </c>
      <c r="L554" s="549"/>
      <c r="M554" s="654"/>
      <c r="O554" s="584"/>
      <c r="S554" s="550"/>
      <c r="T554" s="547"/>
      <c r="U554" s="547"/>
      <c r="V554" s="547"/>
      <c r="W554" s="549"/>
    </row>
    <row r="555" spans="1:23">
      <c r="A555" s="565">
        <v>1249</v>
      </c>
      <c r="B555" s="696" t="s">
        <v>5962</v>
      </c>
      <c r="C555" s="566">
        <f t="shared" si="8"/>
        <v>1249</v>
      </c>
      <c r="D555" s="700" t="s">
        <v>2221</v>
      </c>
      <c r="E555" s="701" t="s">
        <v>8435</v>
      </c>
      <c r="F555" s="566">
        <v>1</v>
      </c>
      <c r="G555" s="662">
        <v>16765.10082835261</v>
      </c>
      <c r="H555" s="662">
        <v>0</v>
      </c>
      <c r="I555" s="662">
        <v>0</v>
      </c>
      <c r="J555" s="662">
        <v>0</v>
      </c>
      <c r="K555" s="566" t="s">
        <v>5247</v>
      </c>
      <c r="L555" s="549"/>
      <c r="M555" s="654"/>
      <c r="O555" s="584"/>
      <c r="S555" s="550"/>
      <c r="T555" s="547"/>
      <c r="U555" s="547"/>
      <c r="V555" s="547"/>
      <c r="W555" s="549"/>
    </row>
    <row r="556" spans="1:23">
      <c r="A556" s="565">
        <v>1250</v>
      </c>
      <c r="B556" s="696" t="s">
        <v>5963</v>
      </c>
      <c r="C556" s="566">
        <f t="shared" si="8"/>
        <v>1250</v>
      </c>
      <c r="D556" s="700" t="s">
        <v>2221</v>
      </c>
      <c r="E556" s="701" t="s">
        <v>8436</v>
      </c>
      <c r="F556" s="566">
        <v>1</v>
      </c>
      <c r="G556" s="662">
        <v>26680.759466600546</v>
      </c>
      <c r="H556" s="662">
        <v>27301.804176313166</v>
      </c>
      <c r="I556" s="662">
        <v>27955.531012604788</v>
      </c>
      <c r="J556" s="662">
        <v>28643.682272851078</v>
      </c>
      <c r="K556" s="566" t="s">
        <v>1050</v>
      </c>
      <c r="L556" s="549"/>
      <c r="M556" s="654"/>
      <c r="O556" s="584"/>
      <c r="S556" s="550"/>
      <c r="T556" s="547"/>
      <c r="U556" s="547"/>
      <c r="V556" s="547"/>
      <c r="W556" s="549"/>
    </row>
    <row r="557" spans="1:23">
      <c r="A557" s="565">
        <v>1251</v>
      </c>
      <c r="B557" s="696" t="s">
        <v>5964</v>
      </c>
      <c r="C557" s="566">
        <f t="shared" si="8"/>
        <v>1251</v>
      </c>
      <c r="D557" s="700" t="s">
        <v>2221</v>
      </c>
      <c r="E557" s="701" t="s">
        <v>8437</v>
      </c>
      <c r="F557" s="566">
        <v>1</v>
      </c>
      <c r="G557" s="662">
        <v>0</v>
      </c>
      <c r="H557" s="662">
        <v>0</v>
      </c>
      <c r="I557" s="662">
        <v>26050.191159957616</v>
      </c>
      <c r="J557" s="662">
        <v>26606.461749494327</v>
      </c>
      <c r="K557" s="566" t="s">
        <v>4702</v>
      </c>
      <c r="L557" s="549"/>
      <c r="M557" s="654"/>
      <c r="O557" s="584"/>
      <c r="S557" s="550"/>
      <c r="T557" s="547"/>
      <c r="U557" s="547"/>
      <c r="V557" s="547"/>
      <c r="W557" s="549"/>
    </row>
    <row r="558" spans="1:23">
      <c r="A558" s="565">
        <v>1252</v>
      </c>
      <c r="B558" s="696" t="s">
        <v>5965</v>
      </c>
      <c r="C558" s="566">
        <f t="shared" si="8"/>
        <v>1252</v>
      </c>
      <c r="D558" s="700" t="s">
        <v>2221</v>
      </c>
      <c r="E558" s="701" t="s">
        <v>8438</v>
      </c>
      <c r="F558" s="566">
        <v>1</v>
      </c>
      <c r="G558" s="662">
        <v>36237.843869741424</v>
      </c>
      <c r="H558" s="662">
        <v>37125.094757513216</v>
      </c>
      <c r="I558" s="662">
        <v>38059.050455581048</v>
      </c>
      <c r="J558" s="662">
        <v>39042.155800584973</v>
      </c>
      <c r="K558" s="566" t="s">
        <v>1051</v>
      </c>
      <c r="L558" s="549"/>
      <c r="M558" s="654"/>
      <c r="O558" s="584"/>
      <c r="S558" s="550"/>
      <c r="T558" s="547"/>
      <c r="U558" s="547"/>
      <c r="V558" s="547"/>
      <c r="W558" s="549"/>
    </row>
    <row r="559" spans="1:23">
      <c r="A559" s="565">
        <v>1253</v>
      </c>
      <c r="B559" s="696" t="s">
        <v>5966</v>
      </c>
      <c r="C559" s="566">
        <f t="shared" si="8"/>
        <v>1253</v>
      </c>
      <c r="D559" s="700" t="s">
        <v>2221</v>
      </c>
      <c r="E559" s="701" t="s">
        <v>8439</v>
      </c>
      <c r="F559" s="566">
        <v>1</v>
      </c>
      <c r="G559" s="662">
        <v>0</v>
      </c>
      <c r="H559" s="662">
        <v>0</v>
      </c>
      <c r="I559" s="662">
        <v>24465.165674645777</v>
      </c>
      <c r="J559" s="662">
        <v>25528.416698930254</v>
      </c>
      <c r="K559" s="566" t="s">
        <v>3970</v>
      </c>
      <c r="L559" s="549"/>
      <c r="M559" s="654"/>
      <c r="O559" s="584"/>
      <c r="S559" s="550"/>
      <c r="T559" s="547"/>
      <c r="U559" s="547"/>
      <c r="V559" s="547"/>
      <c r="W559" s="549"/>
    </row>
    <row r="560" spans="1:23">
      <c r="A560" s="565">
        <v>1254</v>
      </c>
      <c r="B560" s="696" t="s">
        <v>5967</v>
      </c>
      <c r="C560" s="566">
        <f t="shared" si="8"/>
        <v>1254</v>
      </c>
      <c r="D560" s="700" t="s">
        <v>2221</v>
      </c>
      <c r="E560" s="701" t="s">
        <v>8440</v>
      </c>
      <c r="F560" s="566">
        <v>1</v>
      </c>
      <c r="G560" s="662">
        <v>0</v>
      </c>
      <c r="H560" s="662">
        <v>23725.688306721586</v>
      </c>
      <c r="I560" s="662">
        <v>24260.099406630579</v>
      </c>
      <c r="J560" s="662">
        <v>24822.633053199377</v>
      </c>
      <c r="K560" s="566" t="s">
        <v>3045</v>
      </c>
      <c r="L560" s="549"/>
      <c r="M560" s="654"/>
      <c r="O560" s="584"/>
      <c r="S560" s="550"/>
      <c r="T560" s="547"/>
      <c r="U560" s="547"/>
      <c r="V560" s="547"/>
      <c r="W560" s="549"/>
    </row>
    <row r="561" spans="1:23">
      <c r="A561" s="565">
        <v>1255</v>
      </c>
      <c r="B561" s="696" t="s">
        <v>5968</v>
      </c>
      <c r="C561" s="566">
        <f t="shared" si="8"/>
        <v>1255</v>
      </c>
      <c r="D561" s="700" t="s">
        <v>2221</v>
      </c>
      <c r="E561" s="701" t="s">
        <v>8441</v>
      </c>
      <c r="F561" s="566">
        <v>1</v>
      </c>
      <c r="G561" s="662">
        <v>22573.434644858997</v>
      </c>
      <c r="H561" s="662">
        <v>23134.58973521899</v>
      </c>
      <c r="I561" s="662">
        <v>23725.273499571784</v>
      </c>
      <c r="J561" s="662">
        <v>24347.057491995431</v>
      </c>
      <c r="K561" s="566" t="s">
        <v>1052</v>
      </c>
      <c r="L561" s="549"/>
      <c r="M561" s="654"/>
      <c r="O561" s="584"/>
      <c r="S561" s="550"/>
      <c r="T561" s="547"/>
      <c r="U561" s="547"/>
      <c r="V561" s="547"/>
      <c r="W561" s="549"/>
    </row>
    <row r="562" spans="1:23">
      <c r="A562" s="565">
        <v>1256</v>
      </c>
      <c r="B562" s="696" t="s">
        <v>5969</v>
      </c>
      <c r="C562" s="566">
        <f t="shared" si="8"/>
        <v>1256</v>
      </c>
      <c r="D562" s="700" t="s">
        <v>2221</v>
      </c>
      <c r="E562" s="701" t="s">
        <v>8442</v>
      </c>
      <c r="F562" s="566">
        <v>1</v>
      </c>
      <c r="G562" s="662">
        <v>0</v>
      </c>
      <c r="H562" s="662">
        <v>20313.219050783093</v>
      </c>
      <c r="I562" s="662">
        <v>20799.864368732342</v>
      </c>
      <c r="J562" s="662">
        <v>21312.135121861524</v>
      </c>
      <c r="K562" s="566" t="s">
        <v>1053</v>
      </c>
      <c r="L562" s="549"/>
      <c r="M562" s="654"/>
      <c r="O562" s="584"/>
      <c r="S562" s="550"/>
      <c r="T562" s="547"/>
      <c r="U562" s="547"/>
      <c r="V562" s="547"/>
      <c r="W562" s="549"/>
    </row>
    <row r="563" spans="1:23">
      <c r="A563" s="565">
        <v>1257</v>
      </c>
      <c r="B563" s="696" t="s">
        <v>5970</v>
      </c>
      <c r="C563" s="566">
        <f t="shared" si="8"/>
        <v>1257</v>
      </c>
      <c r="D563" s="700" t="s">
        <v>2221</v>
      </c>
      <c r="E563" s="701" t="s">
        <v>8443</v>
      </c>
      <c r="F563" s="566">
        <v>1</v>
      </c>
      <c r="G563" s="662">
        <v>19672.884257592887</v>
      </c>
      <c r="H563" s="662">
        <v>20153.779805475704</v>
      </c>
      <c r="I563" s="662">
        <v>20660.013216476524</v>
      </c>
      <c r="J563" s="662">
        <v>21192.880333431647</v>
      </c>
      <c r="K563" s="566" t="s">
        <v>1054</v>
      </c>
      <c r="L563" s="549"/>
      <c r="M563" s="654"/>
      <c r="O563" s="584"/>
      <c r="S563" s="550"/>
      <c r="T563" s="547"/>
      <c r="U563" s="547"/>
      <c r="V563" s="547"/>
      <c r="W563" s="549"/>
    </row>
    <row r="564" spans="1:23">
      <c r="A564" s="565">
        <v>1258</v>
      </c>
      <c r="B564" s="696" t="s">
        <v>5971</v>
      </c>
      <c r="C564" s="566">
        <f t="shared" si="8"/>
        <v>1258</v>
      </c>
      <c r="D564" s="700" t="s">
        <v>2221</v>
      </c>
      <c r="E564" s="701" t="s">
        <v>8444</v>
      </c>
      <c r="F564" s="566">
        <v>2</v>
      </c>
      <c r="G564" s="662">
        <v>17545.38574757077</v>
      </c>
      <c r="H564" s="662">
        <v>17927.837700514934</v>
      </c>
      <c r="I564" s="662">
        <v>18330.3956989853</v>
      </c>
      <c r="J564" s="662">
        <v>18754.167032445635</v>
      </c>
      <c r="K564" s="566" t="s">
        <v>1055</v>
      </c>
      <c r="L564" s="549"/>
      <c r="M564" s="654"/>
      <c r="O564" s="654"/>
      <c r="S564" s="550"/>
      <c r="T564" s="547"/>
      <c r="U564" s="547"/>
      <c r="V564" s="547"/>
      <c r="W564" s="549"/>
    </row>
    <row r="565" spans="1:23">
      <c r="A565" s="565">
        <v>1259</v>
      </c>
      <c r="B565" s="696" t="s">
        <v>5972</v>
      </c>
      <c r="C565" s="566">
        <f t="shared" si="8"/>
        <v>1259</v>
      </c>
      <c r="D565" s="700" t="s">
        <v>2221</v>
      </c>
      <c r="E565" s="701" t="s">
        <v>8445</v>
      </c>
      <c r="F565" s="566">
        <v>2</v>
      </c>
      <c r="G565" s="662">
        <v>22574.498803115599</v>
      </c>
      <c r="H565" s="662">
        <v>23084.289044392408</v>
      </c>
      <c r="I565" s="662">
        <v>23594.079285669217</v>
      </c>
      <c r="J565" s="662">
        <v>24130.706726844048</v>
      </c>
      <c r="K565" s="566" t="s">
        <v>1056</v>
      </c>
      <c r="L565" s="549"/>
      <c r="M565" s="654"/>
      <c r="O565" s="654"/>
      <c r="S565" s="550"/>
      <c r="T565" s="547"/>
      <c r="U565" s="547"/>
      <c r="V565" s="547"/>
      <c r="W565" s="549"/>
    </row>
    <row r="566" spans="1:23">
      <c r="A566" s="565">
        <v>1260</v>
      </c>
      <c r="B566" s="696" t="s">
        <v>5973</v>
      </c>
      <c r="C566" s="566">
        <f t="shared" si="8"/>
        <v>1260</v>
      </c>
      <c r="D566" s="700" t="s">
        <v>2221</v>
      </c>
      <c r="E566" s="701" t="s">
        <v>8446</v>
      </c>
      <c r="F566" s="566">
        <v>2</v>
      </c>
      <c r="G566" s="662">
        <v>0</v>
      </c>
      <c r="H566" s="662">
        <v>15032.722931821656</v>
      </c>
      <c r="I566" s="662">
        <v>15482.256974723254</v>
      </c>
      <c r="J566" s="662">
        <v>15981.743301816987</v>
      </c>
      <c r="K566" s="566" t="s">
        <v>3046</v>
      </c>
      <c r="L566" s="549"/>
      <c r="M566" s="654"/>
      <c r="O566" s="654"/>
      <c r="S566" s="550"/>
      <c r="T566" s="547"/>
      <c r="U566" s="547"/>
      <c r="V566" s="547"/>
      <c r="W566" s="549"/>
    </row>
    <row r="567" spans="1:23">
      <c r="A567" s="565">
        <v>1261</v>
      </c>
      <c r="B567" s="696" t="s">
        <v>5974</v>
      </c>
      <c r="C567" s="566">
        <f t="shared" si="8"/>
        <v>1261</v>
      </c>
      <c r="D567" s="700" t="s">
        <v>2221</v>
      </c>
      <c r="E567" s="701" t="s">
        <v>8447</v>
      </c>
      <c r="F567" s="566">
        <v>2</v>
      </c>
      <c r="G567" s="662">
        <v>0</v>
      </c>
      <c r="H567" s="662">
        <v>15856.526608860211</v>
      </c>
      <c r="I567" s="662">
        <v>16365.397246653782</v>
      </c>
      <c r="J567" s="662">
        <v>16874.267884447352</v>
      </c>
      <c r="K567" s="566" t="s">
        <v>3047</v>
      </c>
      <c r="L567" s="549"/>
      <c r="M567" s="654"/>
      <c r="O567" s="654"/>
      <c r="S567" s="550"/>
      <c r="T567" s="547"/>
      <c r="U567" s="547"/>
      <c r="V567" s="547"/>
      <c r="W567" s="549"/>
    </row>
    <row r="568" spans="1:23">
      <c r="A568" s="565">
        <v>1262</v>
      </c>
      <c r="B568" s="696" t="s">
        <v>5975</v>
      </c>
      <c r="C568" s="566">
        <f t="shared" si="8"/>
        <v>1262</v>
      </c>
      <c r="D568" s="700" t="s">
        <v>2221</v>
      </c>
      <c r="E568" s="701" t="s">
        <v>8448</v>
      </c>
      <c r="F568" s="566">
        <v>2</v>
      </c>
      <c r="G568" s="662">
        <v>17787.159072808849</v>
      </c>
      <c r="H568" s="662">
        <v>18352.956326871095</v>
      </c>
      <c r="I568" s="662">
        <v>18948.54968027601</v>
      </c>
      <c r="J568" s="662">
        <v>19575.472755783892</v>
      </c>
      <c r="K568" s="566" t="s">
        <v>1057</v>
      </c>
      <c r="L568" s="549"/>
      <c r="M568" s="654"/>
      <c r="O568" s="654"/>
      <c r="S568" s="550"/>
      <c r="T568" s="547"/>
      <c r="U568" s="547"/>
      <c r="V568" s="547"/>
      <c r="W568" s="549"/>
    </row>
    <row r="569" spans="1:23">
      <c r="A569" s="565">
        <v>1263</v>
      </c>
      <c r="B569" s="696" t="s">
        <v>5976</v>
      </c>
      <c r="C569" s="566">
        <f t="shared" si="8"/>
        <v>1263</v>
      </c>
      <c r="D569" s="700" t="s">
        <v>2221</v>
      </c>
      <c r="E569" s="701" t="s">
        <v>8449</v>
      </c>
      <c r="F569" s="566">
        <v>2</v>
      </c>
      <c r="G569" s="662">
        <v>18210.076208938</v>
      </c>
      <c r="H569" s="662">
        <v>18792.816343018629</v>
      </c>
      <c r="I569" s="662">
        <v>19406.228932304952</v>
      </c>
      <c r="J569" s="662">
        <v>20051.920629212509</v>
      </c>
      <c r="K569" s="566" t="s">
        <v>1058</v>
      </c>
      <c r="L569" s="549"/>
      <c r="M569" s="654"/>
      <c r="O569" s="654"/>
      <c r="S569" s="550"/>
      <c r="T569" s="547"/>
      <c r="U569" s="547"/>
      <c r="V569" s="547"/>
      <c r="W569" s="549"/>
    </row>
    <row r="570" spans="1:23">
      <c r="A570" s="565">
        <v>1264</v>
      </c>
      <c r="B570" s="696" t="s">
        <v>5977</v>
      </c>
      <c r="C570" s="566">
        <f t="shared" si="8"/>
        <v>1264</v>
      </c>
      <c r="D570" s="700" t="s">
        <v>2221</v>
      </c>
      <c r="E570" s="701" t="s">
        <v>8450</v>
      </c>
      <c r="F570" s="566">
        <v>1</v>
      </c>
      <c r="G570" s="662">
        <v>13054.722231987818</v>
      </c>
      <c r="H570" s="662">
        <v>13302.904571016446</v>
      </c>
      <c r="I570" s="662">
        <v>13564.140708451547</v>
      </c>
      <c r="J570" s="662">
        <v>13839.135389237763</v>
      </c>
      <c r="K570" s="566" t="s">
        <v>1059</v>
      </c>
      <c r="L570" s="549"/>
      <c r="M570" s="654"/>
      <c r="O570" s="654"/>
      <c r="S570" s="550"/>
      <c r="T570" s="547"/>
      <c r="U570" s="547"/>
      <c r="V570" s="547"/>
      <c r="W570" s="549"/>
    </row>
    <row r="571" spans="1:23">
      <c r="A571" s="565">
        <v>1265</v>
      </c>
      <c r="B571" s="696" t="s">
        <v>5978</v>
      </c>
      <c r="C571" s="566">
        <f t="shared" si="8"/>
        <v>1265</v>
      </c>
      <c r="D571" s="700" t="s">
        <v>2221</v>
      </c>
      <c r="E571" s="701" t="s">
        <v>8451</v>
      </c>
      <c r="F571" s="566">
        <v>1</v>
      </c>
      <c r="G571" s="662">
        <v>0</v>
      </c>
      <c r="H571" s="662">
        <v>13137.194707446422</v>
      </c>
      <c r="I571" s="662">
        <v>13379.899256223496</v>
      </c>
      <c r="J571" s="662">
        <v>13635.369298656962</v>
      </c>
      <c r="K571" s="566" t="s">
        <v>3048</v>
      </c>
      <c r="L571" s="549"/>
      <c r="M571" s="654"/>
      <c r="O571" s="654"/>
      <c r="S571" s="550"/>
      <c r="T571" s="547"/>
      <c r="U571" s="547"/>
      <c r="V571" s="547"/>
      <c r="W571" s="549"/>
    </row>
    <row r="572" spans="1:23">
      <c r="A572" s="565">
        <v>1266</v>
      </c>
      <c r="B572" s="696" t="s">
        <v>5979</v>
      </c>
      <c r="C572" s="566">
        <f t="shared" si="8"/>
        <v>1266</v>
      </c>
      <c r="D572" s="700" t="s">
        <v>2221</v>
      </c>
      <c r="E572" s="701" t="s">
        <v>8452</v>
      </c>
      <c r="F572" s="566">
        <v>1</v>
      </c>
      <c r="G572" s="662">
        <v>22841.25571404615</v>
      </c>
      <c r="H572" s="662">
        <v>23423.811802652675</v>
      </c>
      <c r="I572" s="662">
        <v>24037.044163575556</v>
      </c>
      <c r="J572" s="662">
        <v>24682.548484015966</v>
      </c>
      <c r="K572" s="566" t="s">
        <v>1060</v>
      </c>
      <c r="L572" s="549"/>
      <c r="M572" s="654"/>
      <c r="O572" s="654"/>
      <c r="S572" s="550"/>
      <c r="T572" s="547"/>
      <c r="U572" s="547"/>
      <c r="V572" s="547"/>
      <c r="W572" s="549"/>
    </row>
    <row r="573" spans="1:23">
      <c r="A573" s="565">
        <v>1267</v>
      </c>
      <c r="B573" s="696" t="s">
        <v>5980</v>
      </c>
      <c r="C573" s="566">
        <f t="shared" si="8"/>
        <v>1267</v>
      </c>
      <c r="D573" s="700" t="s">
        <v>2221</v>
      </c>
      <c r="E573" s="701" t="s">
        <v>8453</v>
      </c>
      <c r="F573" s="566">
        <v>1</v>
      </c>
      <c r="G573" s="662">
        <v>0</v>
      </c>
      <c r="H573" s="662">
        <v>18878.000099321824</v>
      </c>
      <c r="I573" s="662">
        <v>19380.15309201636</v>
      </c>
      <c r="J573" s="662">
        <v>19908.748901187424</v>
      </c>
      <c r="K573" s="566" t="s">
        <v>3971</v>
      </c>
      <c r="L573" s="549"/>
      <c r="M573" s="654"/>
      <c r="O573" s="654"/>
      <c r="S573" s="550"/>
      <c r="T573" s="547"/>
      <c r="U573" s="547"/>
      <c r="V573" s="547"/>
      <c r="W573" s="549"/>
    </row>
    <row r="574" spans="1:23">
      <c r="A574" s="565">
        <v>1268</v>
      </c>
      <c r="B574" s="696" t="s">
        <v>5981</v>
      </c>
      <c r="C574" s="566">
        <f t="shared" si="8"/>
        <v>1268</v>
      </c>
      <c r="D574" s="700" t="s">
        <v>2221</v>
      </c>
      <c r="E574" s="701" t="s">
        <v>8454</v>
      </c>
      <c r="F574" s="566">
        <v>1</v>
      </c>
      <c r="G574" s="662">
        <v>15835.44336356157</v>
      </c>
      <c r="H574" s="662">
        <v>16220.915800301216</v>
      </c>
      <c r="I574" s="662">
        <v>16626.643694982235</v>
      </c>
      <c r="J574" s="662">
        <v>17053.766824176888</v>
      </c>
      <c r="K574" s="566" t="s">
        <v>1061</v>
      </c>
      <c r="L574" s="549"/>
      <c r="M574" s="654"/>
      <c r="O574" s="654"/>
      <c r="S574" s="550"/>
      <c r="T574" s="547"/>
      <c r="U574" s="547"/>
      <c r="V574" s="547"/>
      <c r="W574" s="549"/>
    </row>
    <row r="575" spans="1:23">
      <c r="A575" s="565">
        <v>1269</v>
      </c>
      <c r="B575" s="696" t="s">
        <v>5982</v>
      </c>
      <c r="C575" s="566">
        <f t="shared" si="8"/>
        <v>1269</v>
      </c>
      <c r="D575" s="700" t="s">
        <v>2221</v>
      </c>
      <c r="E575" s="701" t="s">
        <v>8455</v>
      </c>
      <c r="F575" s="566">
        <v>1</v>
      </c>
      <c r="G575" s="662">
        <v>17461.994947484036</v>
      </c>
      <c r="H575" s="662">
        <v>17893.742313057595</v>
      </c>
      <c r="I575" s="662">
        <v>18348.187514941656</v>
      </c>
      <c r="J575" s="662">
        <v>18826.568024843265</v>
      </c>
      <c r="K575" s="566" t="s">
        <v>1062</v>
      </c>
      <c r="L575" s="549"/>
      <c r="M575" s="654"/>
      <c r="O575" s="654"/>
      <c r="S575" s="550"/>
      <c r="T575" s="547"/>
      <c r="U575" s="547"/>
      <c r="V575" s="547"/>
      <c r="W575" s="549"/>
    </row>
    <row r="576" spans="1:23">
      <c r="A576" s="565">
        <v>1270</v>
      </c>
      <c r="B576" s="696" t="s">
        <v>5983</v>
      </c>
      <c r="C576" s="566">
        <f t="shared" si="8"/>
        <v>1270</v>
      </c>
      <c r="D576" s="700" t="s">
        <v>2221</v>
      </c>
      <c r="E576" s="701" t="s">
        <v>8456</v>
      </c>
      <c r="F576" s="566">
        <v>1</v>
      </c>
      <c r="G576" s="662">
        <v>0</v>
      </c>
      <c r="H576" s="662">
        <v>0</v>
      </c>
      <c r="I576" s="662">
        <v>22169.337702031167</v>
      </c>
      <c r="J576" s="662">
        <v>22707.540199454168</v>
      </c>
      <c r="K576" s="566" t="s">
        <v>3972</v>
      </c>
      <c r="L576" s="549"/>
      <c r="M576" s="654"/>
      <c r="O576" s="654"/>
      <c r="S576" s="550"/>
      <c r="T576" s="547"/>
      <c r="U576" s="547"/>
      <c r="V576" s="547"/>
      <c r="W576" s="549"/>
    </row>
    <row r="577" spans="1:23">
      <c r="A577" s="565">
        <v>1271</v>
      </c>
      <c r="B577" s="696" t="s">
        <v>5984</v>
      </c>
      <c r="C577" s="566">
        <f t="shared" si="8"/>
        <v>1271</v>
      </c>
      <c r="D577" s="700" t="s">
        <v>2221</v>
      </c>
      <c r="E577" s="701" t="s">
        <v>8457</v>
      </c>
      <c r="F577" s="566">
        <v>1</v>
      </c>
      <c r="G577" s="662">
        <v>18443.542172329857</v>
      </c>
      <c r="H577" s="662">
        <v>18900.98335834673</v>
      </c>
      <c r="I577" s="662">
        <v>19382.49011256083</v>
      </c>
      <c r="J577" s="662">
        <v>19889.365036769035</v>
      </c>
      <c r="K577" s="566" t="s">
        <v>1063</v>
      </c>
      <c r="L577" s="549"/>
      <c r="M577" s="654"/>
      <c r="O577" s="654"/>
      <c r="S577" s="550"/>
      <c r="T577" s="547"/>
      <c r="U577" s="547"/>
      <c r="V577" s="547"/>
      <c r="W577" s="549"/>
    </row>
    <row r="578" spans="1:23">
      <c r="A578" s="565">
        <v>1272</v>
      </c>
      <c r="B578" s="696" t="s">
        <v>5985</v>
      </c>
      <c r="C578" s="566">
        <f t="shared" si="8"/>
        <v>1272</v>
      </c>
      <c r="D578" s="700" t="s">
        <v>2221</v>
      </c>
      <c r="E578" s="701" t="s">
        <v>8458</v>
      </c>
      <c r="F578" s="566">
        <v>1</v>
      </c>
      <c r="G578" s="662">
        <v>0</v>
      </c>
      <c r="H578" s="662">
        <v>23684.186001257407</v>
      </c>
      <c r="I578" s="662">
        <v>24840.114835802495</v>
      </c>
      <c r="J578" s="662">
        <v>25448.495005032033</v>
      </c>
      <c r="K578" s="566" t="s">
        <v>3973</v>
      </c>
      <c r="L578" s="549"/>
      <c r="M578" s="654"/>
      <c r="O578" s="654"/>
      <c r="S578" s="550"/>
      <c r="T578" s="547"/>
      <c r="U578" s="547"/>
      <c r="V578" s="547"/>
      <c r="W578" s="549"/>
    </row>
    <row r="579" spans="1:23">
      <c r="A579" s="565">
        <v>1273</v>
      </c>
      <c r="B579" s="696" t="s">
        <v>5986</v>
      </c>
      <c r="C579" s="566">
        <f t="shared" si="8"/>
        <v>1273</v>
      </c>
      <c r="D579" s="700" t="s">
        <v>2221</v>
      </c>
      <c r="E579" s="701" t="s">
        <v>8459</v>
      </c>
      <c r="F579" s="566">
        <v>1</v>
      </c>
      <c r="G579" s="662">
        <v>0</v>
      </c>
      <c r="H579" s="662">
        <v>0</v>
      </c>
      <c r="I579" s="662">
        <v>0</v>
      </c>
      <c r="J579" s="662">
        <v>25751.893184029785</v>
      </c>
      <c r="K579" s="566" t="s">
        <v>4703</v>
      </c>
      <c r="L579" s="549"/>
      <c r="M579" s="654"/>
      <c r="O579" s="654"/>
      <c r="S579" s="550"/>
      <c r="T579" s="547"/>
      <c r="U579" s="547"/>
      <c r="V579" s="547"/>
      <c r="W579" s="549"/>
    </row>
    <row r="580" spans="1:23">
      <c r="A580" s="565">
        <v>1274</v>
      </c>
      <c r="B580" s="695" t="s">
        <v>5987</v>
      </c>
      <c r="C580" s="566">
        <f t="shared" si="8"/>
        <v>1274</v>
      </c>
      <c r="D580" s="699" t="s">
        <v>2221</v>
      </c>
      <c r="E580" s="701" t="s">
        <v>8460</v>
      </c>
      <c r="F580" s="567">
        <v>1</v>
      </c>
      <c r="G580" s="662">
        <v>20431.549663790644</v>
      </c>
      <c r="H580" s="662">
        <v>20945.556332836728</v>
      </c>
      <c r="I580" s="662">
        <v>0</v>
      </c>
      <c r="J580" s="662">
        <v>0</v>
      </c>
      <c r="K580" s="568" t="s">
        <v>1064</v>
      </c>
      <c r="L580" s="549"/>
      <c r="M580" s="654"/>
      <c r="O580" s="654"/>
      <c r="S580" s="550"/>
      <c r="T580" s="547"/>
      <c r="U580" s="547"/>
      <c r="V580" s="547"/>
      <c r="W580" s="549"/>
    </row>
    <row r="581" spans="1:23">
      <c r="A581" s="565">
        <v>1275</v>
      </c>
      <c r="B581" s="695" t="s">
        <v>5988</v>
      </c>
      <c r="C581" s="566">
        <f t="shared" si="8"/>
        <v>1275</v>
      </c>
      <c r="D581" s="699" t="s">
        <v>2221</v>
      </c>
      <c r="E581" s="701" t="s">
        <v>8461</v>
      </c>
      <c r="F581" s="567">
        <v>1</v>
      </c>
      <c r="G581" s="662">
        <v>19622.219652840166</v>
      </c>
      <c r="H581" s="662">
        <v>0</v>
      </c>
      <c r="I581" s="662">
        <v>0</v>
      </c>
      <c r="J581" s="662">
        <v>0</v>
      </c>
      <c r="K581" s="568" t="s">
        <v>5248</v>
      </c>
      <c r="L581" s="549"/>
      <c r="M581" s="654"/>
      <c r="O581" s="654"/>
      <c r="S581" s="550"/>
      <c r="T581" s="547"/>
      <c r="U581" s="547"/>
      <c r="V581" s="547"/>
      <c r="W581" s="549"/>
    </row>
    <row r="582" spans="1:23">
      <c r="A582" s="565">
        <v>1276</v>
      </c>
      <c r="B582" s="695" t="s">
        <v>5989</v>
      </c>
      <c r="C582" s="566">
        <f t="shared" si="8"/>
        <v>1276</v>
      </c>
      <c r="D582" s="699" t="s">
        <v>2221</v>
      </c>
      <c r="E582" s="701" t="s">
        <v>8462</v>
      </c>
      <c r="F582" s="567">
        <v>1</v>
      </c>
      <c r="G582" s="662">
        <v>24498.409212734467</v>
      </c>
      <c r="H582" s="662">
        <v>25393.870995882244</v>
      </c>
      <c r="I582" s="662">
        <v>0</v>
      </c>
      <c r="J582" s="662">
        <v>0</v>
      </c>
      <c r="K582" s="568" t="s">
        <v>1065</v>
      </c>
      <c r="L582" s="549"/>
      <c r="M582" s="654"/>
      <c r="O582" s="654"/>
      <c r="S582" s="550"/>
      <c r="T582" s="547"/>
      <c r="U582" s="547"/>
      <c r="V582" s="547"/>
      <c r="W582" s="549"/>
    </row>
    <row r="583" spans="1:23">
      <c r="A583" s="565">
        <v>1277</v>
      </c>
      <c r="B583" s="695" t="s">
        <v>5990</v>
      </c>
      <c r="C583" s="566">
        <f t="shared" si="8"/>
        <v>1277</v>
      </c>
      <c r="D583" s="699" t="s">
        <v>2221</v>
      </c>
      <c r="E583" s="701" t="s">
        <v>8463</v>
      </c>
      <c r="F583" s="567">
        <v>2</v>
      </c>
      <c r="G583" s="662">
        <v>0</v>
      </c>
      <c r="H583" s="662">
        <v>0</v>
      </c>
      <c r="I583" s="662">
        <v>0</v>
      </c>
      <c r="J583" s="662">
        <v>21817.503481289004</v>
      </c>
      <c r="K583" s="568" t="s">
        <v>4704</v>
      </c>
      <c r="L583" s="549"/>
      <c r="M583" s="654"/>
      <c r="O583" s="654"/>
      <c r="S583" s="550"/>
      <c r="T583" s="547"/>
      <c r="U583" s="547"/>
      <c r="V583" s="547"/>
      <c r="W583" s="549"/>
    </row>
    <row r="584" spans="1:23">
      <c r="A584" s="565">
        <v>1278</v>
      </c>
      <c r="B584" s="696" t="s">
        <v>5991</v>
      </c>
      <c r="C584" s="566">
        <f t="shared" si="8"/>
        <v>1278</v>
      </c>
      <c r="D584" s="700" t="s">
        <v>2221</v>
      </c>
      <c r="E584" s="701" t="s">
        <v>8464</v>
      </c>
      <c r="F584" s="566">
        <v>2</v>
      </c>
      <c r="G584" s="662">
        <v>0</v>
      </c>
      <c r="H584" s="662">
        <v>0</v>
      </c>
      <c r="I584" s="662">
        <v>0</v>
      </c>
      <c r="J584" s="662">
        <v>22692.959036058986</v>
      </c>
      <c r="K584" s="566" t="s">
        <v>4705</v>
      </c>
      <c r="L584" s="549"/>
      <c r="M584" s="654"/>
      <c r="O584" s="654"/>
      <c r="S584" s="550"/>
      <c r="T584" s="547"/>
      <c r="U584" s="547"/>
      <c r="V584" s="547"/>
      <c r="W584" s="549"/>
    </row>
    <row r="585" spans="1:23">
      <c r="A585" s="565">
        <v>1279</v>
      </c>
      <c r="B585" s="696" t="s">
        <v>5992</v>
      </c>
      <c r="C585" s="566">
        <f t="shared" ref="C585:C648" si="9">A585</f>
        <v>1279</v>
      </c>
      <c r="D585" s="700" t="s">
        <v>2221</v>
      </c>
      <c r="E585" s="701" t="s">
        <v>8465</v>
      </c>
      <c r="F585" s="566">
        <v>2</v>
      </c>
      <c r="G585" s="662">
        <v>0</v>
      </c>
      <c r="H585" s="662">
        <v>0</v>
      </c>
      <c r="I585" s="662">
        <v>0</v>
      </c>
      <c r="J585" s="662">
        <v>24006.142368213958</v>
      </c>
      <c r="K585" s="566" t="s">
        <v>4706</v>
      </c>
      <c r="L585" s="549"/>
      <c r="M585" s="654"/>
      <c r="O585" s="654"/>
      <c r="S585" s="550"/>
      <c r="T585" s="547"/>
      <c r="U585" s="547"/>
      <c r="V585" s="547"/>
      <c r="W585" s="549"/>
    </row>
    <row r="586" spans="1:23">
      <c r="A586" s="565">
        <v>1280</v>
      </c>
      <c r="B586" s="696" t="s">
        <v>5993</v>
      </c>
      <c r="C586" s="566">
        <f t="shared" si="9"/>
        <v>1280</v>
      </c>
      <c r="D586" s="700" t="s">
        <v>2221</v>
      </c>
      <c r="E586" s="701" t="s">
        <v>8466</v>
      </c>
      <c r="F586" s="566">
        <v>2</v>
      </c>
      <c r="G586" s="662">
        <v>13478.762465203425</v>
      </c>
      <c r="H586" s="662">
        <v>13883.164181159495</v>
      </c>
      <c r="I586" s="662">
        <v>14308.854041621427</v>
      </c>
      <c r="J586" s="662">
        <v>14756.927491417991</v>
      </c>
      <c r="K586" s="566" t="s">
        <v>1066</v>
      </c>
      <c r="L586" s="549"/>
      <c r="M586" s="654"/>
      <c r="O586" s="654"/>
      <c r="S586" s="550"/>
      <c r="T586" s="547"/>
      <c r="U586" s="547"/>
      <c r="V586" s="547"/>
      <c r="W586" s="549"/>
    </row>
    <row r="587" spans="1:23">
      <c r="A587" s="565">
        <v>1281</v>
      </c>
      <c r="B587" s="696" t="s">
        <v>5994</v>
      </c>
      <c r="C587" s="566">
        <f t="shared" si="9"/>
        <v>1281</v>
      </c>
      <c r="D587" s="700" t="s">
        <v>2221</v>
      </c>
      <c r="E587" s="701" t="s">
        <v>8467</v>
      </c>
      <c r="F587" s="566">
        <v>2</v>
      </c>
      <c r="G587" s="662">
        <v>14070.930962275936</v>
      </c>
      <c r="H587" s="662">
        <v>14499.615038603186</v>
      </c>
      <c r="I587" s="662">
        <v>14950.865278403196</v>
      </c>
      <c r="J587" s="662">
        <v>15425.850156159999</v>
      </c>
      <c r="K587" s="566" t="s">
        <v>1067</v>
      </c>
      <c r="L587" s="549"/>
      <c r="M587" s="654"/>
      <c r="O587" s="654"/>
      <c r="S587" s="550"/>
      <c r="T587" s="547"/>
      <c r="U587" s="547"/>
      <c r="V587" s="547"/>
      <c r="W587" s="549"/>
    </row>
    <row r="588" spans="1:23">
      <c r="A588" s="565">
        <v>1282</v>
      </c>
      <c r="B588" s="696" t="s">
        <v>5995</v>
      </c>
      <c r="C588" s="566">
        <f t="shared" si="9"/>
        <v>1282</v>
      </c>
      <c r="D588" s="700" t="s">
        <v>2221</v>
      </c>
      <c r="E588" s="701" t="s">
        <v>8468</v>
      </c>
      <c r="F588" s="566">
        <v>1</v>
      </c>
      <c r="G588" s="662">
        <v>0</v>
      </c>
      <c r="H588" s="662">
        <v>30067.710272101864</v>
      </c>
      <c r="I588" s="662">
        <v>31242.007966087793</v>
      </c>
      <c r="J588" s="662">
        <v>32478.138569470397</v>
      </c>
      <c r="K588" s="566" t="s">
        <v>3049</v>
      </c>
      <c r="L588" s="549"/>
      <c r="M588" s="654"/>
      <c r="O588" s="654"/>
      <c r="S588" s="550"/>
      <c r="T588" s="547"/>
      <c r="U588" s="547"/>
      <c r="V588" s="547"/>
      <c r="W588" s="549"/>
    </row>
    <row r="589" spans="1:23">
      <c r="A589" s="565">
        <v>1283</v>
      </c>
      <c r="B589" s="695" t="s">
        <v>5996</v>
      </c>
      <c r="C589" s="566">
        <f t="shared" si="9"/>
        <v>1283</v>
      </c>
      <c r="D589" s="699" t="s">
        <v>2221</v>
      </c>
      <c r="E589" s="701" t="s">
        <v>8469</v>
      </c>
      <c r="F589" s="567">
        <v>1</v>
      </c>
      <c r="G589" s="662">
        <v>0</v>
      </c>
      <c r="H589" s="662">
        <v>44806.448152556128</v>
      </c>
      <c r="I589" s="662">
        <v>46605.511472033177</v>
      </c>
      <c r="J589" s="662">
        <v>48499.276218444567</v>
      </c>
      <c r="K589" s="568" t="s">
        <v>3050</v>
      </c>
      <c r="L589" s="549"/>
      <c r="M589" s="654"/>
      <c r="O589" s="654"/>
      <c r="S589" s="550"/>
      <c r="T589" s="547"/>
      <c r="U589" s="547"/>
      <c r="V589" s="547"/>
      <c r="W589" s="549"/>
    </row>
    <row r="590" spans="1:23">
      <c r="A590" s="565">
        <v>1284</v>
      </c>
      <c r="B590" s="695" t="s">
        <v>5997</v>
      </c>
      <c r="C590" s="566">
        <f t="shared" si="9"/>
        <v>1284</v>
      </c>
      <c r="D590" s="699" t="s">
        <v>2221</v>
      </c>
      <c r="E590" s="701" t="s">
        <v>8470</v>
      </c>
      <c r="F590" s="567">
        <v>1</v>
      </c>
      <c r="G590" s="662">
        <v>0</v>
      </c>
      <c r="H590" s="662">
        <v>34784.106393847222</v>
      </c>
      <c r="I590" s="662">
        <v>36158.305874270052</v>
      </c>
      <c r="J590" s="662">
        <v>37604.8899551129</v>
      </c>
      <c r="K590" s="568" t="s">
        <v>3051</v>
      </c>
      <c r="L590" s="549"/>
      <c r="M590" s="654"/>
      <c r="O590" s="654"/>
      <c r="S590" s="550"/>
      <c r="T590" s="547"/>
      <c r="U590" s="547"/>
      <c r="V590" s="547"/>
      <c r="W590" s="549"/>
    </row>
    <row r="591" spans="1:23">
      <c r="A591" s="565">
        <v>1285</v>
      </c>
      <c r="B591" s="696" t="s">
        <v>5998</v>
      </c>
      <c r="C591" s="566">
        <f t="shared" si="9"/>
        <v>1285</v>
      </c>
      <c r="D591" s="700" t="s">
        <v>2221</v>
      </c>
      <c r="E591" s="701" t="s">
        <v>8471</v>
      </c>
      <c r="F591" s="566">
        <v>1</v>
      </c>
      <c r="G591" s="662">
        <v>0</v>
      </c>
      <c r="H591" s="662">
        <v>37731.853969938085</v>
      </c>
      <c r="I591" s="662">
        <v>39231.038230532198</v>
      </c>
      <c r="J591" s="662">
        <v>40809.149139980807</v>
      </c>
      <c r="K591" s="566" t="s">
        <v>3052</v>
      </c>
      <c r="L591" s="549"/>
      <c r="M591" s="654"/>
      <c r="O591" s="654"/>
      <c r="S591" s="550"/>
      <c r="T591" s="547"/>
      <c r="U591" s="547"/>
      <c r="V591" s="547"/>
      <c r="W591" s="549"/>
    </row>
    <row r="592" spans="1:23">
      <c r="A592" s="565">
        <v>1286</v>
      </c>
      <c r="B592" s="696" t="s">
        <v>5999</v>
      </c>
      <c r="C592" s="566">
        <f t="shared" si="9"/>
        <v>1286</v>
      </c>
      <c r="D592" s="700" t="s">
        <v>2221</v>
      </c>
      <c r="E592" s="701" t="s">
        <v>8472</v>
      </c>
      <c r="F592" s="566">
        <v>1</v>
      </c>
      <c r="G592" s="662">
        <v>0</v>
      </c>
      <c r="H592" s="662">
        <v>0</v>
      </c>
      <c r="I592" s="662">
        <v>0</v>
      </c>
      <c r="J592" s="662">
        <v>35668.430666674489</v>
      </c>
      <c r="K592" s="566" t="s">
        <v>4707</v>
      </c>
      <c r="L592" s="549"/>
      <c r="M592" s="654"/>
      <c r="O592" s="654"/>
      <c r="S592" s="550"/>
      <c r="T592" s="547"/>
      <c r="U592" s="547"/>
      <c r="V592" s="547"/>
      <c r="W592" s="549"/>
    </row>
    <row r="593" spans="1:23">
      <c r="A593" s="565">
        <v>1287</v>
      </c>
      <c r="B593" s="695" t="s">
        <v>6000</v>
      </c>
      <c r="C593" s="566">
        <f t="shared" si="9"/>
        <v>1287</v>
      </c>
      <c r="D593" s="699" t="s">
        <v>2221</v>
      </c>
      <c r="E593" s="701" t="s">
        <v>8473</v>
      </c>
      <c r="F593" s="567">
        <v>1</v>
      </c>
      <c r="G593" s="662">
        <v>0</v>
      </c>
      <c r="H593" s="662">
        <v>0</v>
      </c>
      <c r="I593" s="662">
        <v>0</v>
      </c>
      <c r="J593" s="662">
        <v>41486.018362856194</v>
      </c>
      <c r="K593" s="568" t="s">
        <v>4708</v>
      </c>
      <c r="L593" s="549"/>
      <c r="M593" s="654"/>
      <c r="O593" s="654"/>
      <c r="S593" s="550"/>
      <c r="T593" s="547"/>
      <c r="U593" s="547"/>
      <c r="V593" s="547"/>
      <c r="W593" s="549"/>
    </row>
    <row r="594" spans="1:23">
      <c r="A594" s="565">
        <v>1288</v>
      </c>
      <c r="B594" s="696" t="s">
        <v>6001</v>
      </c>
      <c r="C594" s="566">
        <f t="shared" si="9"/>
        <v>1288</v>
      </c>
      <c r="D594" s="700" t="s">
        <v>2221</v>
      </c>
      <c r="E594" s="701" t="s">
        <v>8474</v>
      </c>
      <c r="F594" s="566">
        <v>2</v>
      </c>
      <c r="G594" s="662">
        <v>12146.608574602054</v>
      </c>
      <c r="H594" s="662">
        <v>12513.144414310138</v>
      </c>
      <c r="I594" s="662">
        <v>12898.960083004664</v>
      </c>
      <c r="J594" s="662">
        <v>13305.07799585915</v>
      </c>
      <c r="K594" s="566" t="s">
        <v>1068</v>
      </c>
      <c r="L594" s="549"/>
      <c r="M594" s="654"/>
      <c r="O594" s="654"/>
      <c r="S594" s="550"/>
      <c r="T594" s="547"/>
      <c r="U594" s="547"/>
      <c r="V594" s="547"/>
      <c r="W594" s="549"/>
    </row>
    <row r="595" spans="1:23">
      <c r="A595" s="565">
        <v>1289</v>
      </c>
      <c r="B595" s="695" t="s">
        <v>6002</v>
      </c>
      <c r="C595" s="566">
        <f t="shared" si="9"/>
        <v>1289</v>
      </c>
      <c r="D595" s="699" t="s">
        <v>2221</v>
      </c>
      <c r="E595" s="701" t="s">
        <v>8475</v>
      </c>
      <c r="F595" s="567">
        <v>2</v>
      </c>
      <c r="G595" s="662">
        <v>11276.734382421844</v>
      </c>
      <c r="H595" s="662">
        <v>11605.732979330576</v>
      </c>
      <c r="I595" s="662">
        <v>11952.039604533951</v>
      </c>
      <c r="J595" s="662">
        <v>12316.567128722618</v>
      </c>
      <c r="K595" s="568" t="s">
        <v>1069</v>
      </c>
      <c r="L595" s="549"/>
      <c r="M595" s="654"/>
      <c r="O595" s="654"/>
      <c r="S595" s="550"/>
      <c r="T595" s="547"/>
      <c r="U595" s="547"/>
      <c r="V595" s="547"/>
      <c r="W595" s="549"/>
    </row>
    <row r="596" spans="1:23">
      <c r="A596" s="565">
        <v>1290</v>
      </c>
      <c r="B596" s="695" t="s">
        <v>6003</v>
      </c>
      <c r="C596" s="566">
        <f t="shared" si="9"/>
        <v>1290</v>
      </c>
      <c r="D596" s="699" t="s">
        <v>2221</v>
      </c>
      <c r="E596" s="701" t="s">
        <v>8476</v>
      </c>
      <c r="F596" s="567">
        <v>2</v>
      </c>
      <c r="G596" s="662">
        <v>13490.153825403708</v>
      </c>
      <c r="H596" s="662">
        <v>13794.571010349056</v>
      </c>
      <c r="I596" s="662">
        <v>14115.014753322535</v>
      </c>
      <c r="J596" s="662">
        <v>14452.330091020181</v>
      </c>
      <c r="K596" s="568" t="s">
        <v>1070</v>
      </c>
      <c r="L596" s="549"/>
      <c r="M596" s="654"/>
      <c r="O596" s="654"/>
      <c r="S596" s="550"/>
      <c r="T596" s="547"/>
      <c r="U596" s="547"/>
      <c r="V596" s="547"/>
      <c r="W596" s="549"/>
    </row>
    <row r="597" spans="1:23">
      <c r="A597" s="565">
        <v>1291</v>
      </c>
      <c r="B597" s="696" t="s">
        <v>6004</v>
      </c>
      <c r="C597" s="566">
        <f t="shared" si="9"/>
        <v>1291</v>
      </c>
      <c r="D597" s="700" t="s">
        <v>2221</v>
      </c>
      <c r="E597" s="701" t="s">
        <v>8477</v>
      </c>
      <c r="F597" s="566">
        <v>2</v>
      </c>
      <c r="G597" s="662">
        <v>12524.92240028115</v>
      </c>
      <c r="H597" s="662">
        <v>12799.413630508499</v>
      </c>
      <c r="I597" s="662">
        <v>13088.328762961175</v>
      </c>
      <c r="J597" s="662">
        <v>13392.454555942373</v>
      </c>
      <c r="K597" s="566" t="s">
        <v>1071</v>
      </c>
      <c r="L597" s="549"/>
      <c r="M597" s="654"/>
      <c r="O597" s="654"/>
      <c r="S597" s="550"/>
      <c r="T597" s="547"/>
      <c r="U597" s="547"/>
      <c r="V597" s="547"/>
      <c r="W597" s="549"/>
    </row>
    <row r="598" spans="1:23">
      <c r="A598" s="565">
        <v>1292</v>
      </c>
      <c r="B598" s="695" t="s">
        <v>6005</v>
      </c>
      <c r="C598" s="566">
        <f t="shared" si="9"/>
        <v>1292</v>
      </c>
      <c r="D598" s="699" t="s">
        <v>2221</v>
      </c>
      <c r="E598" s="701" t="s">
        <v>8478</v>
      </c>
      <c r="F598" s="567">
        <v>1</v>
      </c>
      <c r="G598" s="662">
        <v>0</v>
      </c>
      <c r="H598" s="662">
        <v>11017.847813937773</v>
      </c>
      <c r="I598" s="662">
        <v>11276.088515400897</v>
      </c>
      <c r="J598" s="662">
        <v>11547.897959779342</v>
      </c>
      <c r="K598" s="568" t="s">
        <v>3053</v>
      </c>
      <c r="L598" s="549"/>
      <c r="M598" s="654"/>
      <c r="O598" s="654"/>
      <c r="S598" s="550"/>
      <c r="T598" s="547"/>
      <c r="U598" s="547"/>
      <c r="V598" s="547"/>
      <c r="W598" s="549"/>
    </row>
    <row r="599" spans="1:23">
      <c r="A599" s="565">
        <v>1293</v>
      </c>
      <c r="B599" s="695" t="s">
        <v>6006</v>
      </c>
      <c r="C599" s="566">
        <f t="shared" si="9"/>
        <v>1293</v>
      </c>
      <c r="D599" s="699" t="s">
        <v>2221</v>
      </c>
      <c r="E599" s="701" t="s">
        <v>8479</v>
      </c>
      <c r="F599" s="567">
        <v>1</v>
      </c>
      <c r="G599" s="662">
        <v>0</v>
      </c>
      <c r="H599" s="662">
        <v>0</v>
      </c>
      <c r="I599" s="662">
        <v>12525.855307292833</v>
      </c>
      <c r="J599" s="662">
        <v>12828.665224808778</v>
      </c>
      <c r="K599" s="568" t="s">
        <v>3974</v>
      </c>
      <c r="L599" s="549"/>
      <c r="M599" s="654"/>
      <c r="O599" s="654"/>
      <c r="S599" s="550"/>
      <c r="T599" s="547"/>
      <c r="U599" s="547"/>
      <c r="V599" s="547"/>
      <c r="W599" s="549"/>
    </row>
    <row r="600" spans="1:23">
      <c r="A600" s="565">
        <v>1294</v>
      </c>
      <c r="B600" s="696" t="s">
        <v>6007</v>
      </c>
      <c r="C600" s="566">
        <f t="shared" si="9"/>
        <v>1294</v>
      </c>
      <c r="D600" s="700" t="s">
        <v>2221</v>
      </c>
      <c r="E600" s="701" t="s">
        <v>8480</v>
      </c>
      <c r="F600" s="566">
        <v>1</v>
      </c>
      <c r="G600" s="662">
        <v>0</v>
      </c>
      <c r="H600" s="662">
        <v>0</v>
      </c>
      <c r="I600" s="662">
        <v>11752.518131213308</v>
      </c>
      <c r="J600" s="662">
        <v>12032.488136277489</v>
      </c>
      <c r="K600" s="566" t="s">
        <v>3975</v>
      </c>
      <c r="L600" s="549"/>
      <c r="M600" s="654"/>
      <c r="O600" s="654"/>
      <c r="S600" s="550"/>
      <c r="T600" s="547"/>
      <c r="U600" s="547"/>
      <c r="V600" s="547"/>
      <c r="W600" s="549"/>
    </row>
    <row r="601" spans="1:23">
      <c r="A601" s="565">
        <v>1295</v>
      </c>
      <c r="B601" s="696" t="s">
        <v>6008</v>
      </c>
      <c r="C601" s="566">
        <f t="shared" si="9"/>
        <v>1295</v>
      </c>
      <c r="D601" s="700" t="s">
        <v>2221</v>
      </c>
      <c r="E601" s="701" t="s">
        <v>8481</v>
      </c>
      <c r="F601" s="566">
        <v>1</v>
      </c>
      <c r="G601" s="662">
        <v>0</v>
      </c>
      <c r="H601" s="662">
        <v>11249.848966761629</v>
      </c>
      <c r="I601" s="662">
        <v>11514.946470694416</v>
      </c>
      <c r="J601" s="662">
        <v>11793.999016273208</v>
      </c>
      <c r="K601" s="566" t="s">
        <v>3054</v>
      </c>
      <c r="L601" s="549"/>
      <c r="M601" s="654"/>
      <c r="O601" s="654"/>
      <c r="S601" s="550"/>
      <c r="T601" s="547"/>
      <c r="U601" s="547"/>
      <c r="V601" s="547"/>
      <c r="W601" s="549"/>
    </row>
    <row r="602" spans="1:23">
      <c r="A602" s="565">
        <v>1296</v>
      </c>
      <c r="B602" s="695" t="s">
        <v>6009</v>
      </c>
      <c r="C602" s="566">
        <f t="shared" si="9"/>
        <v>1296</v>
      </c>
      <c r="D602" s="699" t="s">
        <v>2221</v>
      </c>
      <c r="E602" s="701" t="s">
        <v>8482</v>
      </c>
      <c r="F602" s="567">
        <v>1</v>
      </c>
      <c r="G602" s="662">
        <v>0</v>
      </c>
      <c r="H602" s="662">
        <v>12177.853578057049</v>
      </c>
      <c r="I602" s="662">
        <v>12470.378291868497</v>
      </c>
      <c r="J602" s="662">
        <v>12778.306667566019</v>
      </c>
      <c r="K602" s="568" t="s">
        <v>3055</v>
      </c>
      <c r="L602" s="549"/>
      <c r="M602" s="654"/>
      <c r="O602" s="654"/>
      <c r="S602" s="550"/>
      <c r="T602" s="547"/>
      <c r="U602" s="547"/>
      <c r="V602" s="547"/>
      <c r="W602" s="549"/>
    </row>
    <row r="603" spans="1:23">
      <c r="A603" s="565">
        <v>1297</v>
      </c>
      <c r="B603" s="695" t="s">
        <v>6010</v>
      </c>
      <c r="C603" s="566">
        <f t="shared" si="9"/>
        <v>1297</v>
      </c>
      <c r="D603" s="699" t="s">
        <v>2221</v>
      </c>
      <c r="E603" s="701" t="s">
        <v>8483</v>
      </c>
      <c r="F603" s="567">
        <v>1</v>
      </c>
      <c r="G603" s="662">
        <v>0</v>
      </c>
      <c r="H603" s="662">
        <v>12409.854730880905</v>
      </c>
      <c r="I603" s="662">
        <v>0</v>
      </c>
      <c r="J603" s="662">
        <v>0</v>
      </c>
      <c r="K603" s="568" t="s">
        <v>3056</v>
      </c>
      <c r="L603" s="549"/>
      <c r="M603" s="654"/>
      <c r="O603" s="654"/>
      <c r="S603" s="550"/>
      <c r="T603" s="547"/>
      <c r="U603" s="547"/>
      <c r="V603" s="547"/>
      <c r="W603" s="549"/>
    </row>
    <row r="604" spans="1:23">
      <c r="A604" s="565">
        <v>1298</v>
      </c>
      <c r="B604" s="696" t="s">
        <v>6011</v>
      </c>
      <c r="C604" s="566">
        <f t="shared" si="9"/>
        <v>1298</v>
      </c>
      <c r="D604" s="700" t="s">
        <v>2221</v>
      </c>
      <c r="E604" s="701" t="s">
        <v>8484</v>
      </c>
      <c r="F604" s="566">
        <v>1</v>
      </c>
      <c r="G604" s="662">
        <v>0</v>
      </c>
      <c r="H604" s="662">
        <v>13879.19536543199</v>
      </c>
      <c r="I604" s="662">
        <v>0</v>
      </c>
      <c r="J604" s="662">
        <v>0</v>
      </c>
      <c r="K604" s="566" t="s">
        <v>3057</v>
      </c>
      <c r="L604" s="549"/>
      <c r="M604" s="654"/>
      <c r="O604" s="654"/>
      <c r="S604" s="550"/>
      <c r="T604" s="547"/>
      <c r="U604" s="547"/>
      <c r="V604" s="547"/>
      <c r="W604" s="549"/>
    </row>
    <row r="605" spans="1:23">
      <c r="A605" s="565">
        <v>1299</v>
      </c>
      <c r="B605" s="695" t="s">
        <v>6012</v>
      </c>
      <c r="C605" s="566">
        <f t="shared" si="9"/>
        <v>1299</v>
      </c>
      <c r="D605" s="699" t="s">
        <v>2221</v>
      </c>
      <c r="E605" s="701" t="s">
        <v>8485</v>
      </c>
      <c r="F605" s="567">
        <v>1</v>
      </c>
      <c r="G605" s="662">
        <v>0</v>
      </c>
      <c r="H605" s="662">
        <v>13969.96550084869</v>
      </c>
      <c r="I605" s="662">
        <v>14323.670276132418</v>
      </c>
      <c r="J605" s="662">
        <v>14695.96567783038</v>
      </c>
      <c r="K605" s="568" t="s">
        <v>3058</v>
      </c>
      <c r="L605" s="549"/>
      <c r="M605" s="654"/>
      <c r="O605" s="654"/>
      <c r="S605" s="550"/>
      <c r="T605" s="547"/>
      <c r="U605" s="547"/>
      <c r="V605" s="547"/>
      <c r="W605" s="549"/>
    </row>
    <row r="606" spans="1:23">
      <c r="A606" s="565">
        <v>1300</v>
      </c>
      <c r="B606" s="696" t="s">
        <v>6013</v>
      </c>
      <c r="C606" s="566">
        <f t="shared" si="9"/>
        <v>1300</v>
      </c>
      <c r="D606" s="700" t="s">
        <v>2221</v>
      </c>
      <c r="E606" s="701" t="s">
        <v>8486</v>
      </c>
      <c r="F606" s="566">
        <v>1</v>
      </c>
      <c r="G606" s="662">
        <v>0</v>
      </c>
      <c r="H606" s="662">
        <v>14234.930466428572</v>
      </c>
      <c r="I606" s="662">
        <v>14588.297230322954</v>
      </c>
      <c r="J606" s="662">
        <v>0</v>
      </c>
      <c r="K606" s="566" t="s">
        <v>3059</v>
      </c>
      <c r="L606" s="549"/>
      <c r="M606" s="654"/>
      <c r="O606" s="654"/>
      <c r="S606" s="550"/>
      <c r="T606" s="547"/>
      <c r="U606" s="547"/>
      <c r="V606" s="547"/>
      <c r="W606" s="549"/>
    </row>
    <row r="607" spans="1:23">
      <c r="A607" s="565">
        <v>1301</v>
      </c>
      <c r="B607" s="696" t="s">
        <v>6014</v>
      </c>
      <c r="C607" s="566">
        <f t="shared" si="9"/>
        <v>1301</v>
      </c>
      <c r="D607" s="700" t="s">
        <v>2221</v>
      </c>
      <c r="E607" s="701" t="s">
        <v>8487</v>
      </c>
      <c r="F607" s="566">
        <v>1</v>
      </c>
      <c r="G607" s="662">
        <v>0</v>
      </c>
      <c r="H607" s="662">
        <v>0</v>
      </c>
      <c r="I607" s="662">
        <v>0</v>
      </c>
      <c r="J607" s="662">
        <v>29747.386606436627</v>
      </c>
      <c r="K607" s="566" t="s">
        <v>4709</v>
      </c>
      <c r="L607" s="549"/>
      <c r="M607" s="654"/>
      <c r="O607" s="654"/>
      <c r="S607" s="550"/>
      <c r="T607" s="547"/>
      <c r="U607" s="547"/>
      <c r="V607" s="547"/>
      <c r="W607" s="549"/>
    </row>
    <row r="608" spans="1:23">
      <c r="A608" s="565">
        <v>1302</v>
      </c>
      <c r="B608" s="696" t="s">
        <v>6015</v>
      </c>
      <c r="C608" s="566">
        <f t="shared" si="9"/>
        <v>1302</v>
      </c>
      <c r="D608" s="700" t="s">
        <v>2221</v>
      </c>
      <c r="E608" s="701" t="s">
        <v>8488</v>
      </c>
      <c r="F608" s="566">
        <v>1</v>
      </c>
      <c r="G608" s="662">
        <v>0</v>
      </c>
      <c r="H608" s="662">
        <v>0</v>
      </c>
      <c r="I608" s="662">
        <v>0</v>
      </c>
      <c r="J608" s="662">
        <v>33118.094961073664</v>
      </c>
      <c r="K608" s="566" t="s">
        <v>4710</v>
      </c>
      <c r="L608" s="549"/>
      <c r="M608" s="654"/>
      <c r="O608" s="654"/>
      <c r="S608" s="550"/>
      <c r="T608" s="547"/>
      <c r="U608" s="547"/>
      <c r="V608" s="547"/>
      <c r="W608" s="549"/>
    </row>
    <row r="609" spans="1:23">
      <c r="A609" s="565">
        <v>1303</v>
      </c>
      <c r="B609" s="696" t="s">
        <v>6016</v>
      </c>
      <c r="C609" s="566">
        <f t="shared" si="9"/>
        <v>1303</v>
      </c>
      <c r="D609" s="700" t="s">
        <v>2221</v>
      </c>
      <c r="E609" s="701" t="s">
        <v>8489</v>
      </c>
      <c r="F609" s="566">
        <v>1</v>
      </c>
      <c r="G609" s="662">
        <v>0</v>
      </c>
      <c r="H609" s="662">
        <v>0</v>
      </c>
      <c r="I609" s="662">
        <v>0</v>
      </c>
      <c r="J609" s="662">
        <v>37062.540907989336</v>
      </c>
      <c r="K609" s="566" t="s">
        <v>4711</v>
      </c>
      <c r="L609" s="549"/>
      <c r="M609" s="654"/>
      <c r="O609" s="654"/>
      <c r="S609" s="550"/>
      <c r="T609" s="547"/>
      <c r="U609" s="547"/>
      <c r="V609" s="547"/>
      <c r="W609" s="549"/>
    </row>
    <row r="610" spans="1:23">
      <c r="A610" s="565">
        <v>1304</v>
      </c>
      <c r="B610" s="696" t="s">
        <v>6017</v>
      </c>
      <c r="C610" s="566">
        <f t="shared" si="9"/>
        <v>1304</v>
      </c>
      <c r="D610" s="700" t="s">
        <v>2221</v>
      </c>
      <c r="E610" s="701" t="s">
        <v>8490</v>
      </c>
      <c r="F610" s="566">
        <v>1</v>
      </c>
      <c r="G610" s="662">
        <v>0</v>
      </c>
      <c r="H610" s="662">
        <v>0</v>
      </c>
      <c r="I610" s="662">
        <v>0</v>
      </c>
      <c r="J610" s="662">
        <v>43875.67481629824</v>
      </c>
      <c r="K610" s="566" t="s">
        <v>4712</v>
      </c>
      <c r="L610" s="549"/>
      <c r="M610" s="654"/>
      <c r="O610" s="654"/>
      <c r="S610" s="550"/>
      <c r="T610" s="547"/>
      <c r="U610" s="547"/>
      <c r="V610" s="547"/>
      <c r="W610" s="549"/>
    </row>
    <row r="611" spans="1:23">
      <c r="A611" s="565">
        <v>1305</v>
      </c>
      <c r="B611" s="696" t="s">
        <v>6018</v>
      </c>
      <c r="C611" s="566">
        <f t="shared" si="9"/>
        <v>1305</v>
      </c>
      <c r="D611" s="700" t="s">
        <v>2221</v>
      </c>
      <c r="E611" s="701" t="s">
        <v>8491</v>
      </c>
      <c r="F611" s="566">
        <v>1</v>
      </c>
      <c r="G611" s="662">
        <v>0</v>
      </c>
      <c r="H611" s="662">
        <v>0</v>
      </c>
      <c r="I611" s="662">
        <v>0</v>
      </c>
      <c r="J611" s="662">
        <v>20097.278763306585</v>
      </c>
      <c r="K611" s="566" t="s">
        <v>4713</v>
      </c>
      <c r="L611" s="549"/>
      <c r="M611" s="654"/>
      <c r="O611" s="654"/>
      <c r="S611" s="550"/>
      <c r="T611" s="547"/>
      <c r="U611" s="547"/>
      <c r="V611" s="547"/>
      <c r="W611" s="549"/>
    </row>
    <row r="612" spans="1:23">
      <c r="A612" s="565">
        <v>1306</v>
      </c>
      <c r="B612" s="696" t="s">
        <v>6019</v>
      </c>
      <c r="C612" s="566">
        <f t="shared" si="9"/>
        <v>1306</v>
      </c>
      <c r="D612" s="700" t="s">
        <v>2221</v>
      </c>
      <c r="E612" s="701" t="s">
        <v>8492</v>
      </c>
      <c r="F612" s="566">
        <v>1</v>
      </c>
      <c r="G612" s="662">
        <v>0</v>
      </c>
      <c r="H612" s="662">
        <v>0</v>
      </c>
      <c r="I612" s="662">
        <v>0</v>
      </c>
      <c r="J612" s="662">
        <v>19108.123903904263</v>
      </c>
      <c r="K612" s="566" t="s">
        <v>4714</v>
      </c>
      <c r="L612" s="549"/>
      <c r="M612" s="654"/>
      <c r="O612" s="654"/>
      <c r="S612" s="550"/>
      <c r="T612" s="547"/>
      <c r="U612" s="547"/>
      <c r="V612" s="547"/>
      <c r="W612" s="549"/>
    </row>
    <row r="613" spans="1:23">
      <c r="A613" s="565">
        <v>1307</v>
      </c>
      <c r="B613" s="696" t="s">
        <v>6020</v>
      </c>
      <c r="C613" s="566">
        <f t="shared" si="9"/>
        <v>1307</v>
      </c>
      <c r="D613" s="700" t="s">
        <v>2221</v>
      </c>
      <c r="E613" s="701" t="s">
        <v>8493</v>
      </c>
      <c r="F613" s="566">
        <v>1</v>
      </c>
      <c r="G613" s="662">
        <v>0</v>
      </c>
      <c r="H613" s="662">
        <v>23356.993640882414</v>
      </c>
      <c r="I613" s="662">
        <v>23871.374444073139</v>
      </c>
      <c r="J613" s="662">
        <v>24412.838592853626</v>
      </c>
      <c r="K613" s="566" t="s">
        <v>3060</v>
      </c>
      <c r="L613" s="549"/>
      <c r="M613" s="654"/>
      <c r="O613" s="654"/>
      <c r="S613" s="550"/>
      <c r="T613" s="547"/>
      <c r="U613" s="547"/>
      <c r="V613" s="547"/>
      <c r="W613" s="549"/>
    </row>
    <row r="614" spans="1:23">
      <c r="A614" s="565">
        <v>1308</v>
      </c>
      <c r="B614" s="695" t="s">
        <v>6021</v>
      </c>
      <c r="C614" s="566">
        <f t="shared" si="9"/>
        <v>1308</v>
      </c>
      <c r="D614" s="699" t="s">
        <v>2221</v>
      </c>
      <c r="E614" s="701" t="s">
        <v>8494</v>
      </c>
      <c r="F614" s="567">
        <v>1</v>
      </c>
      <c r="G614" s="662">
        <v>0</v>
      </c>
      <c r="H614" s="662">
        <v>23075.983737643121</v>
      </c>
      <c r="I614" s="662">
        <v>23583.499564465095</v>
      </c>
      <c r="J614" s="662">
        <v>24117.722176991647</v>
      </c>
      <c r="K614" s="568" t="s">
        <v>3061</v>
      </c>
      <c r="L614" s="549"/>
      <c r="M614" s="654"/>
      <c r="O614" s="654"/>
      <c r="S614" s="550"/>
      <c r="T614" s="547"/>
      <c r="U614" s="547"/>
      <c r="V614" s="547"/>
      <c r="W614" s="549"/>
    </row>
    <row r="615" spans="1:23">
      <c r="A615" s="565">
        <v>1309</v>
      </c>
      <c r="B615" s="696" t="s">
        <v>6022</v>
      </c>
      <c r="C615" s="566">
        <f t="shared" si="9"/>
        <v>1309</v>
      </c>
      <c r="D615" s="700" t="s">
        <v>2221</v>
      </c>
      <c r="E615" s="701" t="s">
        <v>8495</v>
      </c>
      <c r="F615" s="566">
        <v>1</v>
      </c>
      <c r="G615" s="662">
        <v>0</v>
      </c>
      <c r="H615" s="662">
        <v>21670.934221446638</v>
      </c>
      <c r="I615" s="662">
        <v>22144.154132569896</v>
      </c>
      <c r="J615" s="662">
        <v>22642.284928406745</v>
      </c>
      <c r="K615" s="566" t="s">
        <v>3062</v>
      </c>
      <c r="L615" s="549"/>
      <c r="M615" s="654"/>
      <c r="O615" s="654"/>
      <c r="S615" s="550"/>
      <c r="T615" s="547"/>
      <c r="U615" s="547"/>
      <c r="V615" s="547"/>
      <c r="W615" s="549"/>
    </row>
    <row r="616" spans="1:23">
      <c r="A616" s="565">
        <v>1310</v>
      </c>
      <c r="B616" s="696" t="s">
        <v>6023</v>
      </c>
      <c r="C616" s="566">
        <f t="shared" si="9"/>
        <v>1310</v>
      </c>
      <c r="D616" s="700" t="s">
        <v>2221</v>
      </c>
      <c r="E616" s="701" t="s">
        <v>8496</v>
      </c>
      <c r="F616" s="566">
        <v>1</v>
      </c>
      <c r="G616" s="662">
        <v>0</v>
      </c>
      <c r="H616" s="662">
        <v>21389.924318207348</v>
      </c>
      <c r="I616" s="662">
        <v>21856.279252961856</v>
      </c>
      <c r="J616" s="662">
        <v>22347.19747868977</v>
      </c>
      <c r="K616" s="566" t="s">
        <v>3063</v>
      </c>
      <c r="L616" s="549"/>
      <c r="M616" s="654"/>
      <c r="O616" s="654"/>
      <c r="S616" s="550"/>
      <c r="T616" s="547"/>
      <c r="U616" s="547"/>
      <c r="V616" s="547"/>
      <c r="W616" s="549"/>
    </row>
    <row r="617" spans="1:23">
      <c r="A617" s="565">
        <v>1311</v>
      </c>
      <c r="B617" s="696" t="s">
        <v>6024</v>
      </c>
      <c r="C617" s="566">
        <f t="shared" si="9"/>
        <v>1311</v>
      </c>
      <c r="D617" s="700" t="s">
        <v>2221</v>
      </c>
      <c r="E617" s="701" t="s">
        <v>8497</v>
      </c>
      <c r="F617" s="566">
        <v>1</v>
      </c>
      <c r="G617" s="662">
        <v>0</v>
      </c>
      <c r="H617" s="662">
        <v>0</v>
      </c>
      <c r="I617" s="662">
        <v>0</v>
      </c>
      <c r="J617" s="662">
        <v>17620.604987641527</v>
      </c>
      <c r="K617" s="566" t="s">
        <v>4715</v>
      </c>
      <c r="L617" s="549"/>
      <c r="M617" s="654"/>
      <c r="O617" s="654"/>
      <c r="S617" s="550"/>
      <c r="T617" s="547"/>
      <c r="U617" s="547"/>
      <c r="V617" s="547"/>
      <c r="W617" s="549"/>
    </row>
    <row r="618" spans="1:23">
      <c r="A618" s="565">
        <v>1312</v>
      </c>
      <c r="B618" s="696" t="s">
        <v>6025</v>
      </c>
      <c r="C618" s="566">
        <f t="shared" si="9"/>
        <v>1312</v>
      </c>
      <c r="D618" s="700" t="s">
        <v>2221</v>
      </c>
      <c r="E618" s="701" t="s">
        <v>8498</v>
      </c>
      <c r="F618" s="566">
        <v>1</v>
      </c>
      <c r="G618" s="662">
        <v>0</v>
      </c>
      <c r="H618" s="662">
        <v>18259.473996121589</v>
      </c>
      <c r="I618" s="662">
        <v>18649.416240324397</v>
      </c>
      <c r="J618" s="662">
        <v>19059.895481343417</v>
      </c>
      <c r="K618" s="566" t="s">
        <v>3064</v>
      </c>
      <c r="L618" s="549"/>
      <c r="M618" s="654"/>
      <c r="O618" s="654"/>
      <c r="S618" s="550"/>
      <c r="T618" s="547"/>
      <c r="U618" s="547"/>
      <c r="V618" s="547"/>
      <c r="W618" s="549"/>
    </row>
    <row r="619" spans="1:23">
      <c r="A619" s="565">
        <v>1313</v>
      </c>
      <c r="B619" s="696" t="s">
        <v>6026</v>
      </c>
      <c r="C619" s="566">
        <f t="shared" si="9"/>
        <v>1313</v>
      </c>
      <c r="D619" s="700" t="s">
        <v>2221</v>
      </c>
      <c r="E619" s="701" t="s">
        <v>8499</v>
      </c>
      <c r="F619" s="566">
        <v>1</v>
      </c>
      <c r="G619" s="662">
        <v>0</v>
      </c>
      <c r="H619" s="662">
        <v>19141.845092292984</v>
      </c>
      <c r="I619" s="662">
        <v>19553.309182242534</v>
      </c>
      <c r="J619" s="662">
        <v>19986.439948663909</v>
      </c>
      <c r="K619" s="566" t="s">
        <v>3065</v>
      </c>
      <c r="L619" s="549"/>
      <c r="M619" s="654"/>
      <c r="O619" s="654"/>
      <c r="S619" s="550"/>
      <c r="T619" s="547"/>
      <c r="U619" s="547"/>
      <c r="V619" s="547"/>
      <c r="W619" s="549"/>
    </row>
    <row r="620" spans="1:23">
      <c r="A620" s="565">
        <v>1314</v>
      </c>
      <c r="B620" s="696" t="s">
        <v>6027</v>
      </c>
      <c r="C620" s="566">
        <f t="shared" si="9"/>
        <v>1314</v>
      </c>
      <c r="D620" s="700" t="s">
        <v>2221</v>
      </c>
      <c r="E620" s="701" t="s">
        <v>8500</v>
      </c>
      <c r="F620" s="566">
        <v>1</v>
      </c>
      <c r="G620" s="662">
        <v>43016.267952657145</v>
      </c>
      <c r="H620" s="662">
        <v>44979.712422063814</v>
      </c>
      <c r="I620" s="662">
        <v>47046.416152042526</v>
      </c>
      <c r="J620" s="662">
        <v>49221.947043898625</v>
      </c>
      <c r="K620" s="566" t="s">
        <v>1072</v>
      </c>
      <c r="L620" s="549"/>
      <c r="M620" s="654"/>
      <c r="O620" s="654"/>
      <c r="S620" s="550"/>
      <c r="T620" s="547"/>
      <c r="U620" s="547"/>
      <c r="V620" s="547"/>
      <c r="W620" s="549"/>
    </row>
    <row r="621" spans="1:23">
      <c r="A621" s="565">
        <v>1315</v>
      </c>
      <c r="B621" s="696" t="s">
        <v>6028</v>
      </c>
      <c r="C621" s="566">
        <f t="shared" si="9"/>
        <v>1315</v>
      </c>
      <c r="D621" s="700" t="s">
        <v>2221</v>
      </c>
      <c r="E621" s="701" t="s">
        <v>8501</v>
      </c>
      <c r="F621" s="566">
        <v>1</v>
      </c>
      <c r="G621" s="662">
        <v>28726.636568561513</v>
      </c>
      <c r="H621" s="662">
        <v>30001.179794641939</v>
      </c>
      <c r="I621" s="662">
        <v>31342.827078012888</v>
      </c>
      <c r="J621" s="662">
        <v>32755.121628595938</v>
      </c>
      <c r="K621" s="566" t="s">
        <v>1073</v>
      </c>
      <c r="L621" s="549"/>
      <c r="M621" s="654"/>
      <c r="O621" s="654"/>
      <c r="S621" s="550"/>
      <c r="T621" s="547"/>
      <c r="U621" s="547"/>
      <c r="V621" s="547"/>
      <c r="W621" s="549"/>
    </row>
    <row r="622" spans="1:23">
      <c r="A622" s="565">
        <v>1316</v>
      </c>
      <c r="B622" s="696" t="s">
        <v>6029</v>
      </c>
      <c r="C622" s="566">
        <f t="shared" si="9"/>
        <v>1316</v>
      </c>
      <c r="D622" s="700" t="s">
        <v>2221</v>
      </c>
      <c r="E622" s="701" t="s">
        <v>8502</v>
      </c>
      <c r="F622" s="566">
        <v>1</v>
      </c>
      <c r="G622" s="662">
        <v>34884.981391833338</v>
      </c>
      <c r="H622" s="662">
        <v>38138.29889351179</v>
      </c>
      <c r="I622" s="662">
        <v>39850.537010518397</v>
      </c>
      <c r="J622" s="662">
        <v>43655.582914272978</v>
      </c>
      <c r="K622" s="566" t="s">
        <v>3066</v>
      </c>
      <c r="L622" s="549"/>
      <c r="M622" s="654"/>
      <c r="O622" s="654"/>
      <c r="S622" s="550"/>
      <c r="T622" s="547"/>
      <c r="U622" s="547"/>
      <c r="V622" s="547"/>
      <c r="W622" s="549"/>
    </row>
    <row r="623" spans="1:23">
      <c r="A623" s="565">
        <v>1317</v>
      </c>
      <c r="B623" s="696" t="s">
        <v>6030</v>
      </c>
      <c r="C623" s="566">
        <f t="shared" si="9"/>
        <v>1317</v>
      </c>
      <c r="D623" s="700" t="s">
        <v>2221</v>
      </c>
      <c r="E623" s="701" t="s">
        <v>8503</v>
      </c>
      <c r="F623" s="566">
        <v>1</v>
      </c>
      <c r="G623" s="662">
        <v>38690.404579285234</v>
      </c>
      <c r="H623" s="662">
        <v>40452.681497633486</v>
      </c>
      <c r="I623" s="662">
        <v>42307.660357195564</v>
      </c>
      <c r="J623" s="662">
        <v>44260.330576024331</v>
      </c>
      <c r="K623" s="566" t="s">
        <v>1074</v>
      </c>
      <c r="L623" s="549"/>
      <c r="M623" s="654"/>
      <c r="O623" s="654"/>
      <c r="S623" s="550"/>
      <c r="T623" s="547"/>
      <c r="U623" s="547"/>
      <c r="V623" s="547"/>
      <c r="W623" s="549"/>
    </row>
    <row r="624" spans="1:23">
      <c r="A624" s="565">
        <v>1318</v>
      </c>
      <c r="B624" s="696" t="s">
        <v>6031</v>
      </c>
      <c r="C624" s="566">
        <f t="shared" si="9"/>
        <v>1318</v>
      </c>
      <c r="D624" s="700" t="s">
        <v>2221</v>
      </c>
      <c r="E624" s="701" t="s">
        <v>8504</v>
      </c>
      <c r="F624" s="566">
        <v>1</v>
      </c>
      <c r="G624" s="662">
        <v>38138.29889351179</v>
      </c>
      <c r="H624" s="662">
        <v>39850.537010518397</v>
      </c>
      <c r="I624" s="662">
        <v>41652.873894102573</v>
      </c>
      <c r="J624" s="662">
        <v>43550.154341504051</v>
      </c>
      <c r="K624" s="566" t="s">
        <v>1075</v>
      </c>
      <c r="L624" s="549"/>
      <c r="M624" s="654"/>
      <c r="O624" s="654"/>
      <c r="S624" s="550"/>
      <c r="T624" s="547"/>
      <c r="U624" s="547"/>
      <c r="V624" s="547"/>
      <c r="W624" s="549"/>
    </row>
    <row r="625" spans="1:23">
      <c r="A625" s="565">
        <v>1319</v>
      </c>
      <c r="B625" s="696" t="s">
        <v>6032</v>
      </c>
      <c r="C625" s="566">
        <f t="shared" si="9"/>
        <v>1319</v>
      </c>
      <c r="D625" s="700" t="s">
        <v>2221</v>
      </c>
      <c r="E625" s="701" t="s">
        <v>8505</v>
      </c>
      <c r="F625" s="566">
        <v>1</v>
      </c>
      <c r="G625" s="662">
        <v>0</v>
      </c>
      <c r="H625" s="662">
        <v>0</v>
      </c>
      <c r="I625" s="662">
        <v>0</v>
      </c>
      <c r="J625" s="662">
        <v>49828.20233618917</v>
      </c>
      <c r="K625" s="566" t="s">
        <v>4716</v>
      </c>
      <c r="L625" s="549"/>
      <c r="M625" s="654"/>
      <c r="O625" s="654"/>
      <c r="S625" s="550"/>
      <c r="T625" s="547"/>
      <c r="U625" s="547"/>
      <c r="V625" s="547"/>
      <c r="W625" s="549"/>
    </row>
    <row r="626" spans="1:23">
      <c r="A626" s="565">
        <v>1320</v>
      </c>
      <c r="B626" s="696" t="s">
        <v>6033</v>
      </c>
      <c r="C626" s="566">
        <f t="shared" si="9"/>
        <v>1320</v>
      </c>
      <c r="D626" s="700" t="s">
        <v>2221</v>
      </c>
      <c r="E626" s="701" t="s">
        <v>8506</v>
      </c>
      <c r="F626" s="566">
        <v>1</v>
      </c>
      <c r="G626" s="662">
        <v>32752.996792809463</v>
      </c>
      <c r="H626" s="662">
        <v>34221.621150105129</v>
      </c>
      <c r="I626" s="662">
        <v>35767.617642423262</v>
      </c>
      <c r="J626" s="662">
        <v>37394.963342124836</v>
      </c>
      <c r="K626" s="566" t="s">
        <v>1076</v>
      </c>
      <c r="L626" s="549"/>
      <c r="M626" s="654"/>
      <c r="O626" s="654"/>
      <c r="S626" s="550"/>
      <c r="T626" s="547"/>
      <c r="U626" s="547"/>
      <c r="V626" s="547"/>
      <c r="W626" s="549"/>
    </row>
    <row r="627" spans="1:23">
      <c r="A627" s="565">
        <v>1321</v>
      </c>
      <c r="B627" s="695" t="s">
        <v>6034</v>
      </c>
      <c r="C627" s="566">
        <f t="shared" si="9"/>
        <v>1321</v>
      </c>
      <c r="D627" s="699" t="s">
        <v>2221</v>
      </c>
      <c r="E627" s="701" t="s">
        <v>8507</v>
      </c>
      <c r="F627" s="567">
        <v>1</v>
      </c>
      <c r="G627" s="662">
        <v>32752.996792809463</v>
      </c>
      <c r="H627" s="662">
        <v>0</v>
      </c>
      <c r="I627" s="662">
        <v>0</v>
      </c>
      <c r="J627" s="662">
        <v>0</v>
      </c>
      <c r="K627" s="568" t="s">
        <v>5249</v>
      </c>
      <c r="L627" s="549"/>
      <c r="M627" s="654"/>
      <c r="O627" s="654"/>
      <c r="S627" s="550"/>
      <c r="T627" s="547"/>
      <c r="U627" s="547"/>
      <c r="V627" s="547"/>
      <c r="W627" s="549"/>
    </row>
    <row r="628" spans="1:23">
      <c r="A628" s="565">
        <v>1322</v>
      </c>
      <c r="B628" s="696" t="s">
        <v>6035</v>
      </c>
      <c r="C628" s="566">
        <f t="shared" si="9"/>
        <v>1322</v>
      </c>
      <c r="D628" s="700" t="s">
        <v>2221</v>
      </c>
      <c r="E628" s="701" t="s">
        <v>8508</v>
      </c>
      <c r="F628" s="566">
        <v>1</v>
      </c>
      <c r="G628" s="662">
        <v>0</v>
      </c>
      <c r="H628" s="662">
        <v>0</v>
      </c>
      <c r="I628" s="662">
        <v>0</v>
      </c>
      <c r="J628" s="662">
        <v>52481.738700477901</v>
      </c>
      <c r="K628" s="566" t="s">
        <v>4717</v>
      </c>
      <c r="L628" s="549"/>
      <c r="M628" s="654"/>
      <c r="O628" s="654"/>
      <c r="S628" s="550"/>
      <c r="T628" s="547"/>
      <c r="U628" s="547"/>
      <c r="V628" s="547"/>
      <c r="W628" s="549"/>
    </row>
    <row r="629" spans="1:23">
      <c r="A629" s="565">
        <v>1323</v>
      </c>
      <c r="B629" s="695" t="s">
        <v>6036</v>
      </c>
      <c r="C629" s="566">
        <f t="shared" si="9"/>
        <v>1323</v>
      </c>
      <c r="D629" s="699" t="s">
        <v>2221</v>
      </c>
      <c r="E629" s="701" t="s">
        <v>8509</v>
      </c>
      <c r="F629" s="567">
        <v>1</v>
      </c>
      <c r="G629" s="662">
        <v>0</v>
      </c>
      <c r="H629" s="662">
        <v>56069.512808063184</v>
      </c>
      <c r="I629" s="662">
        <v>58683.606315724232</v>
      </c>
      <c r="J629" s="662">
        <v>61435.234216668206</v>
      </c>
      <c r="K629" s="568" t="s">
        <v>1077</v>
      </c>
      <c r="L629" s="549"/>
      <c r="M629" s="654"/>
      <c r="O629" s="654"/>
      <c r="S629" s="550"/>
      <c r="T629" s="547"/>
      <c r="U629" s="547"/>
      <c r="V629" s="547"/>
      <c r="W629" s="549"/>
    </row>
    <row r="630" spans="1:23">
      <c r="A630" s="565">
        <v>1324</v>
      </c>
      <c r="B630" s="696" t="s">
        <v>6037</v>
      </c>
      <c r="C630" s="566">
        <f t="shared" si="9"/>
        <v>1324</v>
      </c>
      <c r="D630" s="700" t="s">
        <v>2221</v>
      </c>
      <c r="E630" s="701" t="s">
        <v>8510</v>
      </c>
      <c r="F630" s="566">
        <v>1</v>
      </c>
      <c r="G630" s="662">
        <v>0</v>
      </c>
      <c r="H630" s="662">
        <v>0</v>
      </c>
      <c r="I630" s="662">
        <v>0</v>
      </c>
      <c r="J630" s="662">
        <v>64315.076541224946</v>
      </c>
      <c r="K630" s="566" t="s">
        <v>4718</v>
      </c>
      <c r="L630" s="549"/>
      <c r="M630" s="654"/>
      <c r="O630" s="654"/>
      <c r="S630" s="550"/>
      <c r="T630" s="547"/>
      <c r="U630" s="547"/>
      <c r="V630" s="547"/>
      <c r="W630" s="549"/>
    </row>
    <row r="631" spans="1:23">
      <c r="A631" s="565">
        <v>1325</v>
      </c>
      <c r="B631" s="696" t="s">
        <v>6038</v>
      </c>
      <c r="C631" s="566">
        <f t="shared" si="9"/>
        <v>1325</v>
      </c>
      <c r="D631" s="700" t="s">
        <v>2221</v>
      </c>
      <c r="E631" s="701" t="s">
        <v>8511</v>
      </c>
      <c r="F631" s="566">
        <v>1</v>
      </c>
      <c r="G631" s="662">
        <v>19069.753475061778</v>
      </c>
      <c r="H631" s="662">
        <v>19667.185109675771</v>
      </c>
      <c r="I631" s="662">
        <v>20296.039092152005</v>
      </c>
      <c r="J631" s="662">
        <v>20958.024928462259</v>
      </c>
      <c r="K631" s="566" t="s">
        <v>1078</v>
      </c>
      <c r="L631" s="549"/>
      <c r="M631" s="654"/>
      <c r="O631" s="654"/>
      <c r="S631" s="550"/>
      <c r="T631" s="547"/>
      <c r="U631" s="547"/>
      <c r="V631" s="547"/>
      <c r="W631" s="549"/>
    </row>
    <row r="632" spans="1:23">
      <c r="A632" s="565">
        <v>1326</v>
      </c>
      <c r="B632" s="696" t="s">
        <v>6039</v>
      </c>
      <c r="C632" s="566">
        <f t="shared" si="9"/>
        <v>1326</v>
      </c>
      <c r="D632" s="700" t="s">
        <v>2221</v>
      </c>
      <c r="E632" s="701" t="s">
        <v>8512</v>
      </c>
      <c r="F632" s="566">
        <v>1</v>
      </c>
      <c r="G632" s="662">
        <v>20334.534185828448</v>
      </c>
      <c r="H632" s="662">
        <v>0</v>
      </c>
      <c r="I632" s="662">
        <v>0</v>
      </c>
      <c r="J632" s="662">
        <v>0</v>
      </c>
      <c r="K632" s="566" t="s">
        <v>5250</v>
      </c>
      <c r="L632" s="549"/>
      <c r="M632" s="654"/>
      <c r="O632" s="654"/>
      <c r="S632" s="550"/>
      <c r="T632" s="547"/>
      <c r="U632" s="547"/>
      <c r="V632" s="547"/>
      <c r="W632" s="549"/>
    </row>
    <row r="633" spans="1:23">
      <c r="A633" s="565">
        <v>1327</v>
      </c>
      <c r="B633" s="696" t="s">
        <v>6040</v>
      </c>
      <c r="C633" s="566">
        <f t="shared" si="9"/>
        <v>1327</v>
      </c>
      <c r="D633" s="700" t="s">
        <v>2221</v>
      </c>
      <c r="E633" s="701" t="s">
        <v>8513</v>
      </c>
      <c r="F633" s="566">
        <v>1</v>
      </c>
      <c r="G633" s="662">
        <v>0</v>
      </c>
      <c r="H633" s="662">
        <v>26570.432552537346</v>
      </c>
      <c r="I633" s="662">
        <v>27389.896450867043</v>
      </c>
      <c r="J633" s="662">
        <v>28252.505023722624</v>
      </c>
      <c r="K633" s="566" t="s">
        <v>3976</v>
      </c>
      <c r="L633" s="549"/>
      <c r="M633" s="654"/>
      <c r="O633" s="654"/>
      <c r="S633" s="550"/>
      <c r="T633" s="547"/>
      <c r="U633" s="547"/>
      <c r="V633" s="547"/>
      <c r="W633" s="549"/>
    </row>
    <row r="634" spans="1:23">
      <c r="A634" s="565">
        <v>1328</v>
      </c>
      <c r="B634" s="695" t="s">
        <v>6041</v>
      </c>
      <c r="C634" s="566">
        <f t="shared" si="9"/>
        <v>1328</v>
      </c>
      <c r="D634" s="699" t="s">
        <v>2221</v>
      </c>
      <c r="E634" s="701" t="s">
        <v>8514</v>
      </c>
      <c r="F634" s="567">
        <v>1</v>
      </c>
      <c r="G634" s="662">
        <v>0</v>
      </c>
      <c r="H634" s="662">
        <v>28741.515382804409</v>
      </c>
      <c r="I634" s="662">
        <v>29634.243822781835</v>
      </c>
      <c r="J634" s="662">
        <v>30573.942974460071</v>
      </c>
      <c r="K634" s="568" t="s">
        <v>3977</v>
      </c>
      <c r="L634" s="549"/>
      <c r="M634" s="654"/>
      <c r="O634" s="654"/>
      <c r="S634" s="550"/>
      <c r="T634" s="547"/>
      <c r="U634" s="547"/>
      <c r="V634" s="547"/>
      <c r="W634" s="549"/>
    </row>
    <row r="635" spans="1:23">
      <c r="A635" s="565">
        <v>1329</v>
      </c>
      <c r="B635" s="695" t="s">
        <v>6042</v>
      </c>
      <c r="C635" s="566">
        <f t="shared" si="9"/>
        <v>1329</v>
      </c>
      <c r="D635" s="699" t="s">
        <v>2221</v>
      </c>
      <c r="E635" s="701" t="s">
        <v>8515</v>
      </c>
      <c r="F635" s="567">
        <v>1</v>
      </c>
      <c r="G635" s="662">
        <v>16362.724369460739</v>
      </c>
      <c r="H635" s="662">
        <v>16863.81313180798</v>
      </c>
      <c r="I635" s="662">
        <v>17391.236426625259</v>
      </c>
      <c r="J635" s="662">
        <v>17946.418842222396</v>
      </c>
      <c r="K635" s="568" t="s">
        <v>1079</v>
      </c>
      <c r="L635" s="549"/>
      <c r="M635" s="654"/>
      <c r="O635" s="654"/>
      <c r="S635" s="550"/>
      <c r="T635" s="547"/>
      <c r="U635" s="547"/>
      <c r="V635" s="547"/>
      <c r="W635" s="549"/>
    </row>
    <row r="636" spans="1:23">
      <c r="A636" s="565">
        <v>1330</v>
      </c>
      <c r="B636" s="695" t="s">
        <v>6043</v>
      </c>
      <c r="C636" s="566">
        <f t="shared" si="9"/>
        <v>1330</v>
      </c>
      <c r="D636" s="699" t="s">
        <v>2221</v>
      </c>
      <c r="E636" s="701" t="s">
        <v>8516</v>
      </c>
      <c r="F636" s="567">
        <v>1</v>
      </c>
      <c r="G636" s="662">
        <v>18168.092467809696</v>
      </c>
      <c r="H636" s="662">
        <v>18733.409811668105</v>
      </c>
      <c r="I636" s="662">
        <v>19328.480699940115</v>
      </c>
      <c r="J636" s="662">
        <v>19954.892531028087</v>
      </c>
      <c r="K636" s="568" t="s">
        <v>1080</v>
      </c>
      <c r="L636" s="549"/>
      <c r="O636" s="654"/>
      <c r="S636" s="550"/>
      <c r="T636" s="547"/>
      <c r="U636" s="547"/>
      <c r="V636" s="547"/>
      <c r="W636" s="549"/>
    </row>
    <row r="637" spans="1:23">
      <c r="A637" s="565">
        <v>1331</v>
      </c>
      <c r="B637" s="695" t="s">
        <v>6044</v>
      </c>
      <c r="C637" s="566">
        <f t="shared" si="9"/>
        <v>1331</v>
      </c>
      <c r="D637" s="699" t="s">
        <v>2221</v>
      </c>
      <c r="E637" s="701" t="s">
        <v>8517</v>
      </c>
      <c r="F637" s="567">
        <v>1</v>
      </c>
      <c r="G637" s="662">
        <v>0</v>
      </c>
      <c r="H637" s="662">
        <v>0</v>
      </c>
      <c r="I637" s="662">
        <v>23406.179865718277</v>
      </c>
      <c r="J637" s="662">
        <v>24131.865150738911</v>
      </c>
      <c r="K637" s="568" t="s">
        <v>3978</v>
      </c>
      <c r="L637" s="549"/>
      <c r="O637" s="654"/>
      <c r="S637" s="550"/>
      <c r="T637" s="547"/>
      <c r="U637" s="547"/>
      <c r="V637" s="547"/>
      <c r="W637" s="549"/>
    </row>
    <row r="638" spans="1:23">
      <c r="A638" s="565">
        <v>1332</v>
      </c>
      <c r="B638" s="695" t="s">
        <v>6045</v>
      </c>
      <c r="C638" s="566">
        <f t="shared" si="9"/>
        <v>1332</v>
      </c>
      <c r="D638" s="699" t="s">
        <v>2221</v>
      </c>
      <c r="E638" s="701" t="s">
        <v>8518</v>
      </c>
      <c r="F638" s="567">
        <v>1</v>
      </c>
      <c r="G638" s="662">
        <v>14192.619862842264</v>
      </c>
      <c r="H638" s="662">
        <v>14539.577879705048</v>
      </c>
      <c r="I638" s="662">
        <v>14904.819223436831</v>
      </c>
      <c r="J638" s="662">
        <v>15289.279320063459</v>
      </c>
      <c r="K638" s="568" t="s">
        <v>1081</v>
      </c>
      <c r="L638" s="549"/>
      <c r="O638" s="654"/>
      <c r="S638" s="550"/>
      <c r="T638" s="547"/>
      <c r="U638" s="547"/>
      <c r="V638" s="547"/>
      <c r="W638" s="549"/>
    </row>
    <row r="639" spans="1:23">
      <c r="A639" s="565">
        <v>1333</v>
      </c>
      <c r="B639" s="695" t="s">
        <v>6046</v>
      </c>
      <c r="C639" s="566">
        <f t="shared" si="9"/>
        <v>1333</v>
      </c>
      <c r="D639" s="699" t="s">
        <v>2221</v>
      </c>
      <c r="E639" s="701" t="s">
        <v>8519</v>
      </c>
      <c r="F639" s="567">
        <v>1</v>
      </c>
      <c r="G639" s="662">
        <v>13341.817861004112</v>
      </c>
      <c r="H639" s="662">
        <v>13664.001261303332</v>
      </c>
      <c r="I639" s="662">
        <v>14003.135715040784</v>
      </c>
      <c r="J639" s="662">
        <v>14360.12830199911</v>
      </c>
      <c r="K639" s="568" t="s">
        <v>1082</v>
      </c>
      <c r="L639" s="549"/>
      <c r="O639" s="654"/>
      <c r="S639" s="550"/>
      <c r="T639" s="547"/>
      <c r="U639" s="547"/>
      <c r="V639" s="547"/>
      <c r="W639" s="549"/>
    </row>
    <row r="640" spans="1:23">
      <c r="A640" s="565">
        <v>1334</v>
      </c>
      <c r="B640" s="695" t="s">
        <v>6047</v>
      </c>
      <c r="C640" s="566">
        <f t="shared" si="9"/>
        <v>1334</v>
      </c>
      <c r="D640" s="699" t="s">
        <v>2221</v>
      </c>
      <c r="E640" s="701" t="s">
        <v>8520</v>
      </c>
      <c r="F640" s="567">
        <v>1</v>
      </c>
      <c r="G640" s="662">
        <v>0</v>
      </c>
      <c r="H640" s="662">
        <v>0</v>
      </c>
      <c r="I640" s="662">
        <v>0</v>
      </c>
      <c r="J640" s="662">
        <v>18189.736638405469</v>
      </c>
      <c r="K640" s="568" t="s">
        <v>4719</v>
      </c>
      <c r="L640" s="549"/>
      <c r="O640" s="654"/>
      <c r="S640" s="550"/>
      <c r="T640" s="547"/>
      <c r="U640" s="547"/>
      <c r="V640" s="547"/>
      <c r="W640" s="549"/>
    </row>
    <row r="641" spans="1:23">
      <c r="A641" s="565">
        <v>1335</v>
      </c>
      <c r="B641" s="696" t="s">
        <v>6048</v>
      </c>
      <c r="C641" s="566">
        <f t="shared" si="9"/>
        <v>1335</v>
      </c>
      <c r="D641" s="700" t="s">
        <v>2221</v>
      </c>
      <c r="E641" s="701" t="s">
        <v>8521</v>
      </c>
      <c r="F641" s="566">
        <v>1</v>
      </c>
      <c r="G641" s="662">
        <v>18440.501489877563</v>
      </c>
      <c r="H641" s="662">
        <v>18900.475978409628</v>
      </c>
      <c r="I641" s="662">
        <v>19384.658158641101</v>
      </c>
      <c r="J641" s="662">
        <v>19894.323611516338</v>
      </c>
      <c r="K641" s="566" t="s">
        <v>1083</v>
      </c>
      <c r="L641" s="549"/>
      <c r="O641" s="654"/>
      <c r="S641" s="550"/>
      <c r="T641" s="547"/>
      <c r="U641" s="547"/>
      <c r="V641" s="547"/>
      <c r="W641" s="549"/>
    </row>
    <row r="642" spans="1:23">
      <c r="A642" s="565">
        <v>1336</v>
      </c>
      <c r="B642" s="695" t="s">
        <v>6049</v>
      </c>
      <c r="C642" s="566">
        <f t="shared" si="9"/>
        <v>1336</v>
      </c>
      <c r="D642" s="699" t="s">
        <v>2221</v>
      </c>
      <c r="E642" s="701" t="s">
        <v>8522</v>
      </c>
      <c r="F642" s="567">
        <v>1</v>
      </c>
      <c r="G642" s="662">
        <v>17061.729354080173</v>
      </c>
      <c r="H642" s="662">
        <v>17482.44429576951</v>
      </c>
      <c r="I642" s="662">
        <v>17925.297653404094</v>
      </c>
      <c r="J642" s="662">
        <v>18391.451622955443</v>
      </c>
      <c r="K642" s="568" t="s">
        <v>1084</v>
      </c>
      <c r="L642" s="549"/>
      <c r="O642" s="654"/>
      <c r="S642" s="550"/>
      <c r="T642" s="547"/>
      <c r="U642" s="547"/>
      <c r="V642" s="547"/>
      <c r="W642" s="549"/>
    </row>
    <row r="643" spans="1:23">
      <c r="A643" s="565">
        <v>1337</v>
      </c>
      <c r="B643" s="696" t="s">
        <v>6050</v>
      </c>
      <c r="C643" s="566">
        <f t="shared" si="9"/>
        <v>1337</v>
      </c>
      <c r="D643" s="700" t="s">
        <v>2221</v>
      </c>
      <c r="E643" s="701" t="s">
        <v>8523</v>
      </c>
      <c r="F643" s="566">
        <v>1</v>
      </c>
      <c r="G643" s="662">
        <v>14800.549854470821</v>
      </c>
      <c r="H643" s="662">
        <v>15156.890477835364</v>
      </c>
      <c r="I643" s="662">
        <v>15531.967967960236</v>
      </c>
      <c r="J643" s="662">
        <v>15926.774443357697</v>
      </c>
      <c r="K643" s="566" t="s">
        <v>1085</v>
      </c>
      <c r="L643" s="549"/>
      <c r="O643" s="654"/>
      <c r="S643" s="550"/>
      <c r="T643" s="547"/>
      <c r="U643" s="547"/>
      <c r="V643" s="547"/>
      <c r="W643" s="549"/>
    </row>
    <row r="644" spans="1:23">
      <c r="A644" s="565">
        <v>1338</v>
      </c>
      <c r="B644" s="695" t="s">
        <v>6051</v>
      </c>
      <c r="C644" s="566">
        <f t="shared" si="9"/>
        <v>1338</v>
      </c>
      <c r="D644" s="699" t="s">
        <v>2221</v>
      </c>
      <c r="E644" s="701" t="s">
        <v>8524</v>
      </c>
      <c r="F644" s="567">
        <v>1</v>
      </c>
      <c r="G644" s="662">
        <v>13973.303580738308</v>
      </c>
      <c r="H644" s="662">
        <v>14306.060129754016</v>
      </c>
      <c r="I644" s="662">
        <v>14656.334657072102</v>
      </c>
      <c r="J644" s="662">
        <v>15025.034242475231</v>
      </c>
      <c r="K644" s="568" t="s">
        <v>1086</v>
      </c>
      <c r="L644" s="549"/>
      <c r="O644" s="654"/>
      <c r="S644" s="550"/>
      <c r="T644" s="547"/>
      <c r="U644" s="547"/>
      <c r="V644" s="547"/>
      <c r="W644" s="549"/>
    </row>
    <row r="645" spans="1:23">
      <c r="A645" s="565">
        <v>1339</v>
      </c>
      <c r="B645" s="696" t="s">
        <v>6052</v>
      </c>
      <c r="C645" s="566">
        <f t="shared" si="9"/>
        <v>1339</v>
      </c>
      <c r="D645" s="700" t="s">
        <v>2221</v>
      </c>
      <c r="E645" s="701" t="s">
        <v>8525</v>
      </c>
      <c r="F645" s="566">
        <v>1</v>
      </c>
      <c r="G645" s="662">
        <v>0</v>
      </c>
      <c r="H645" s="662">
        <v>36243.383089485687</v>
      </c>
      <c r="I645" s="662">
        <v>0</v>
      </c>
      <c r="J645" s="662">
        <v>0</v>
      </c>
      <c r="K645" s="566" t="s">
        <v>3067</v>
      </c>
      <c r="L645" s="549"/>
      <c r="O645" s="654"/>
      <c r="S645" s="550"/>
      <c r="T645" s="547"/>
      <c r="U645" s="547"/>
      <c r="V645" s="547"/>
      <c r="W645" s="549"/>
    </row>
    <row r="646" spans="1:23">
      <c r="A646" s="565">
        <v>1340</v>
      </c>
      <c r="B646" s="696" t="s">
        <v>6053</v>
      </c>
      <c r="C646" s="566">
        <f t="shared" si="9"/>
        <v>1340</v>
      </c>
      <c r="D646" s="700" t="s">
        <v>2221</v>
      </c>
      <c r="E646" s="701" t="s">
        <v>8526</v>
      </c>
      <c r="F646" s="566">
        <v>1</v>
      </c>
      <c r="G646" s="662">
        <v>27891.056059202827</v>
      </c>
      <c r="H646" s="662">
        <v>28802.045248446553</v>
      </c>
      <c r="I646" s="662">
        <v>29713.034437690276</v>
      </c>
      <c r="J646" s="662">
        <v>30671.978694839436</v>
      </c>
      <c r="K646" s="566" t="s">
        <v>1087</v>
      </c>
      <c r="L646" s="549"/>
      <c r="O646" s="654"/>
      <c r="S646" s="550"/>
      <c r="T646" s="547"/>
      <c r="U646" s="547"/>
      <c r="V646" s="547"/>
      <c r="W646" s="549"/>
    </row>
    <row r="647" spans="1:23">
      <c r="A647" s="565">
        <v>1341</v>
      </c>
      <c r="B647" s="696" t="s">
        <v>6054</v>
      </c>
      <c r="C647" s="566">
        <f t="shared" si="9"/>
        <v>1341</v>
      </c>
      <c r="D647" s="700" t="s">
        <v>2221</v>
      </c>
      <c r="E647" s="701" t="s">
        <v>8527</v>
      </c>
      <c r="F647" s="566">
        <v>1</v>
      </c>
      <c r="G647" s="662">
        <v>25901.073319639778</v>
      </c>
      <c r="H647" s="662">
        <v>26741.367077081875</v>
      </c>
      <c r="I647" s="662">
        <v>27581.660834523984</v>
      </c>
      <c r="J647" s="662">
        <v>28466.178512081984</v>
      </c>
      <c r="K647" s="566" t="s">
        <v>1088</v>
      </c>
      <c r="L647" s="549"/>
      <c r="O647" s="654"/>
      <c r="S647" s="550"/>
      <c r="T647" s="547"/>
      <c r="U647" s="547"/>
      <c r="V647" s="547"/>
      <c r="W647" s="549"/>
    </row>
    <row r="648" spans="1:23">
      <c r="A648" s="565">
        <v>1342</v>
      </c>
      <c r="B648" s="696" t="s">
        <v>6055</v>
      </c>
      <c r="C648" s="566">
        <f t="shared" si="9"/>
        <v>1342</v>
      </c>
      <c r="D648" s="700" t="s">
        <v>2221</v>
      </c>
      <c r="E648" s="701" t="s">
        <v>8528</v>
      </c>
      <c r="F648" s="566">
        <v>1</v>
      </c>
      <c r="G648" s="662">
        <v>21976.385138834859</v>
      </c>
      <c r="H648" s="662">
        <v>22677.251794668202</v>
      </c>
      <c r="I648" s="662">
        <v>23378.118450501548</v>
      </c>
      <c r="J648" s="662">
        <v>24115.864556591401</v>
      </c>
      <c r="K648" s="566" t="s">
        <v>1089</v>
      </c>
      <c r="L648" s="549"/>
      <c r="O648" s="654"/>
      <c r="S648" s="550"/>
      <c r="T648" s="547"/>
      <c r="U648" s="547"/>
      <c r="V648" s="547"/>
      <c r="W648" s="549"/>
    </row>
    <row r="649" spans="1:23">
      <c r="A649" s="565">
        <v>1343</v>
      </c>
      <c r="B649" s="696" t="s">
        <v>6056</v>
      </c>
      <c r="C649" s="566">
        <f t="shared" ref="C649:C712" si="10">A649</f>
        <v>1343</v>
      </c>
      <c r="D649" s="700" t="s">
        <v>2221</v>
      </c>
      <c r="E649" s="701" t="s">
        <v>8529</v>
      </c>
      <c r="F649" s="566">
        <v>1</v>
      </c>
      <c r="G649" s="662">
        <v>23137.208403579978</v>
      </c>
      <c r="H649" s="662">
        <v>23879.314061297602</v>
      </c>
      <c r="I649" s="662">
        <v>24621.419719015226</v>
      </c>
      <c r="J649" s="662">
        <v>25402.564965183301</v>
      </c>
      <c r="K649" s="566" t="s">
        <v>1090</v>
      </c>
      <c r="L649" s="549"/>
      <c r="O649" s="654"/>
      <c r="S649" s="550"/>
      <c r="T649" s="547"/>
      <c r="U649" s="547"/>
      <c r="V649" s="547"/>
      <c r="W649" s="549"/>
    </row>
    <row r="650" spans="1:23">
      <c r="A650" s="565">
        <v>1344</v>
      </c>
      <c r="B650" s="696" t="s">
        <v>6057</v>
      </c>
      <c r="C650" s="566">
        <f t="shared" si="10"/>
        <v>1344</v>
      </c>
      <c r="D650" s="700" t="s">
        <v>2221</v>
      </c>
      <c r="E650" s="701" t="s">
        <v>8530</v>
      </c>
      <c r="F650" s="566">
        <v>1</v>
      </c>
      <c r="G650" s="662">
        <v>0</v>
      </c>
      <c r="H650" s="662">
        <v>0</v>
      </c>
      <c r="I650" s="662">
        <v>0</v>
      </c>
      <c r="J650" s="662">
        <v>33789.4034092496</v>
      </c>
      <c r="K650" s="566" t="s">
        <v>4720</v>
      </c>
      <c r="L650" s="549"/>
      <c r="O650" s="654"/>
      <c r="S650" s="550"/>
      <c r="T650" s="547"/>
      <c r="U650" s="547"/>
      <c r="V650" s="547"/>
      <c r="W650" s="549"/>
    </row>
    <row r="651" spans="1:23">
      <c r="A651" s="565">
        <v>1345</v>
      </c>
      <c r="B651" s="696" t="s">
        <v>6058</v>
      </c>
      <c r="C651" s="566">
        <f t="shared" si="10"/>
        <v>1345</v>
      </c>
      <c r="D651" s="700" t="s">
        <v>2221</v>
      </c>
      <c r="E651" s="701" t="s">
        <v>8531</v>
      </c>
      <c r="F651" s="566">
        <v>1</v>
      </c>
      <c r="G651" s="662">
        <v>29201.387648590327</v>
      </c>
      <c r="H651" s="662">
        <v>30107.231781408493</v>
      </c>
      <c r="I651" s="662">
        <v>31060.716780212981</v>
      </c>
      <c r="J651" s="662">
        <v>32188.42674316858</v>
      </c>
      <c r="K651" s="566" t="s">
        <v>1091</v>
      </c>
      <c r="L651" s="549"/>
      <c r="O651" s="654"/>
      <c r="S651" s="550"/>
      <c r="T651" s="547"/>
      <c r="U651" s="547"/>
      <c r="V651" s="547"/>
      <c r="W651" s="549"/>
    </row>
    <row r="652" spans="1:23">
      <c r="A652" s="565">
        <v>1346</v>
      </c>
      <c r="B652" s="696" t="s">
        <v>6059</v>
      </c>
      <c r="C652" s="566">
        <f t="shared" si="10"/>
        <v>1346</v>
      </c>
      <c r="D652" s="700" t="s">
        <v>2221</v>
      </c>
      <c r="E652" s="701" t="s">
        <v>8532</v>
      </c>
      <c r="F652" s="566">
        <v>1</v>
      </c>
      <c r="G652" s="662">
        <v>23961.815543663954</v>
      </c>
      <c r="H652" s="662">
        <v>25442.531362749018</v>
      </c>
      <c r="I652" s="662">
        <v>26221.830672642267</v>
      </c>
      <c r="J652" s="662">
        <v>27042.17260822036</v>
      </c>
      <c r="K652" s="566" t="s">
        <v>3979</v>
      </c>
      <c r="L652" s="549"/>
      <c r="O652" s="654"/>
      <c r="S652" s="550"/>
      <c r="T652" s="547"/>
      <c r="U652" s="547"/>
      <c r="V652" s="547"/>
      <c r="W652" s="549"/>
    </row>
    <row r="653" spans="1:23">
      <c r="A653" s="565">
        <v>1347</v>
      </c>
      <c r="B653" s="696" t="s">
        <v>6060</v>
      </c>
      <c r="C653" s="566">
        <f t="shared" si="10"/>
        <v>1347</v>
      </c>
      <c r="D653" s="700" t="s">
        <v>2221</v>
      </c>
      <c r="E653" s="701" t="s">
        <v>8533</v>
      </c>
      <c r="F653" s="566">
        <v>1</v>
      </c>
      <c r="G653" s="662">
        <v>30472.765509977839</v>
      </c>
      <c r="H653" s="662">
        <v>31421.380379035989</v>
      </c>
      <c r="I653" s="662">
        <v>32419.914077994064</v>
      </c>
      <c r="J653" s="662">
        <v>33470.998047924688</v>
      </c>
      <c r="K653" s="566" t="s">
        <v>1092</v>
      </c>
      <c r="L653" s="549"/>
      <c r="O653" s="654"/>
      <c r="S653" s="550"/>
      <c r="T653" s="547"/>
      <c r="U653" s="547"/>
      <c r="V653" s="547"/>
      <c r="W653" s="549"/>
    </row>
    <row r="654" spans="1:23">
      <c r="A654" s="565">
        <v>1348</v>
      </c>
      <c r="B654" s="696" t="s">
        <v>6061</v>
      </c>
      <c r="C654" s="566">
        <f t="shared" si="10"/>
        <v>1348</v>
      </c>
      <c r="D654" s="700" t="s">
        <v>2221</v>
      </c>
      <c r="E654" s="701" t="s">
        <v>8534</v>
      </c>
      <c r="F654" s="566">
        <v>2</v>
      </c>
      <c r="G654" s="662">
        <v>0</v>
      </c>
      <c r="H654" s="662">
        <v>0</v>
      </c>
      <c r="I654" s="662">
        <v>0</v>
      </c>
      <c r="J654" s="662">
        <v>31615.195566381979</v>
      </c>
      <c r="K654" s="566" t="s">
        <v>4721</v>
      </c>
      <c r="L654" s="549"/>
      <c r="O654" s="654"/>
      <c r="S654" s="550"/>
      <c r="T654" s="547"/>
      <c r="U654" s="547"/>
      <c r="V654" s="547"/>
      <c r="W654" s="549"/>
    </row>
    <row r="655" spans="1:23">
      <c r="A655" s="565">
        <v>1349</v>
      </c>
      <c r="B655" s="696" t="s">
        <v>6062</v>
      </c>
      <c r="C655" s="566">
        <f t="shared" si="10"/>
        <v>1349</v>
      </c>
      <c r="D655" s="700" t="s">
        <v>2221</v>
      </c>
      <c r="E655" s="701" t="s">
        <v>8535</v>
      </c>
      <c r="F655" s="566">
        <v>2</v>
      </c>
      <c r="G655" s="662">
        <v>0</v>
      </c>
      <c r="H655" s="662">
        <v>0</v>
      </c>
      <c r="I655" s="662">
        <v>0</v>
      </c>
      <c r="J655" s="662">
        <v>33948.164032750159</v>
      </c>
      <c r="K655" s="566" t="s">
        <v>4722</v>
      </c>
      <c r="L655" s="549"/>
      <c r="O655" s="654"/>
      <c r="S655" s="550"/>
      <c r="T655" s="547"/>
      <c r="U655" s="547"/>
      <c r="V655" s="547"/>
      <c r="W655" s="549"/>
    </row>
    <row r="656" spans="1:23">
      <c r="A656" s="565">
        <v>1350</v>
      </c>
      <c r="B656" s="696" t="s">
        <v>6063</v>
      </c>
      <c r="C656" s="566">
        <f t="shared" si="10"/>
        <v>1350</v>
      </c>
      <c r="D656" s="700" t="s">
        <v>2221</v>
      </c>
      <c r="E656" s="701" t="s">
        <v>8536</v>
      </c>
      <c r="F656" s="566">
        <v>2</v>
      </c>
      <c r="G656" s="662">
        <v>18186.221779408086</v>
      </c>
      <c r="H656" s="662">
        <v>18627.505769913714</v>
      </c>
      <c r="I656" s="662">
        <v>19091.984560765519</v>
      </c>
      <c r="J656" s="662">
        <v>19580.940276605746</v>
      </c>
      <c r="K656" s="566" t="s">
        <v>1093</v>
      </c>
      <c r="L656" s="549"/>
      <c r="O656" s="654"/>
      <c r="S656" s="550"/>
      <c r="T656" s="547"/>
      <c r="U656" s="547"/>
      <c r="V656" s="547"/>
      <c r="W656" s="549"/>
    </row>
    <row r="657" spans="1:23">
      <c r="A657" s="565">
        <v>1351</v>
      </c>
      <c r="B657" s="696" t="s">
        <v>6064</v>
      </c>
      <c r="C657" s="566">
        <f t="shared" si="10"/>
        <v>1351</v>
      </c>
      <c r="D657" s="700" t="s">
        <v>2221</v>
      </c>
      <c r="E657" s="701" t="s">
        <v>8537</v>
      </c>
      <c r="F657" s="566">
        <v>2</v>
      </c>
      <c r="G657" s="662">
        <v>17353.458010525952</v>
      </c>
      <c r="H657" s="662">
        <v>17769.449178543538</v>
      </c>
      <c r="I657" s="662">
        <v>18207.323883068635</v>
      </c>
      <c r="J657" s="662">
        <v>18668.247691957833</v>
      </c>
      <c r="K657" s="566" t="s">
        <v>1094</v>
      </c>
      <c r="L657" s="549"/>
      <c r="O657" s="654"/>
      <c r="S657" s="550"/>
      <c r="T657" s="547"/>
      <c r="U657" s="547"/>
      <c r="V657" s="547"/>
      <c r="W657" s="549"/>
    </row>
    <row r="658" spans="1:23">
      <c r="A658" s="565">
        <v>1352</v>
      </c>
      <c r="B658" s="696" t="s">
        <v>6065</v>
      </c>
      <c r="C658" s="566">
        <f t="shared" si="10"/>
        <v>1352</v>
      </c>
      <c r="D658" s="700" t="s">
        <v>2221</v>
      </c>
      <c r="E658" s="701" t="s">
        <v>8538</v>
      </c>
      <c r="F658" s="566">
        <v>2</v>
      </c>
      <c r="G658" s="662">
        <v>18550.470340987373</v>
      </c>
      <c r="H658" s="662">
        <v>19002.215303005913</v>
      </c>
      <c r="I658" s="662">
        <v>19477.737849298919</v>
      </c>
      <c r="J658" s="662">
        <v>19978.290965312237</v>
      </c>
      <c r="K658" s="566" t="s">
        <v>1095</v>
      </c>
      <c r="L658" s="549"/>
      <c r="O658" s="654"/>
      <c r="S658" s="550"/>
      <c r="T658" s="547"/>
      <c r="U658" s="547"/>
      <c r="V658" s="547"/>
      <c r="W658" s="549"/>
    </row>
    <row r="659" spans="1:23">
      <c r="A659" s="565">
        <v>1353</v>
      </c>
      <c r="B659" s="696" t="s">
        <v>6066</v>
      </c>
      <c r="C659" s="566">
        <f t="shared" si="10"/>
        <v>1353</v>
      </c>
      <c r="D659" s="700" t="s">
        <v>2221</v>
      </c>
      <c r="E659" s="701" t="s">
        <v>8539</v>
      </c>
      <c r="F659" s="566">
        <v>2</v>
      </c>
      <c r="G659" s="662">
        <v>18251.018314790723</v>
      </c>
      <c r="H659" s="662">
        <v>18694.254631456144</v>
      </c>
      <c r="I659" s="662">
        <v>19160.831444449814</v>
      </c>
      <c r="J659" s="662">
        <v>19651.972600021152</v>
      </c>
      <c r="K659" s="566" t="s">
        <v>1096</v>
      </c>
      <c r="L659" s="549"/>
      <c r="O659" s="654"/>
      <c r="S659" s="550"/>
      <c r="T659" s="547"/>
      <c r="U659" s="547"/>
      <c r="V659" s="547"/>
      <c r="W659" s="549"/>
    </row>
    <row r="660" spans="1:23">
      <c r="A660" s="565">
        <v>1354</v>
      </c>
      <c r="B660" s="696" t="s">
        <v>6067</v>
      </c>
      <c r="C660" s="566">
        <f t="shared" si="10"/>
        <v>1354</v>
      </c>
      <c r="D660" s="700" t="s">
        <v>2221</v>
      </c>
      <c r="E660" s="701" t="s">
        <v>8540</v>
      </c>
      <c r="F660" s="566">
        <v>2</v>
      </c>
      <c r="G660" s="662">
        <v>25296.380446465166</v>
      </c>
      <c r="H660" s="662">
        <v>25879.018678778961</v>
      </c>
      <c r="I660" s="662">
        <v>26492.311345721108</v>
      </c>
      <c r="J660" s="662">
        <v>0</v>
      </c>
      <c r="K660" s="566" t="s">
        <v>1097</v>
      </c>
      <c r="L660" s="549"/>
      <c r="O660" s="654"/>
      <c r="S660" s="550"/>
      <c r="T660" s="547"/>
      <c r="U660" s="547"/>
      <c r="V660" s="547"/>
      <c r="W660" s="549"/>
    </row>
    <row r="661" spans="1:23">
      <c r="A661" s="565">
        <v>1355</v>
      </c>
      <c r="B661" s="696" t="s">
        <v>6068</v>
      </c>
      <c r="C661" s="566">
        <f t="shared" si="10"/>
        <v>1355</v>
      </c>
      <c r="D661" s="700" t="s">
        <v>2221</v>
      </c>
      <c r="E661" s="701" t="s">
        <v>8541</v>
      </c>
      <c r="F661" s="566">
        <v>2</v>
      </c>
      <c r="G661" s="662">
        <v>25996.990860876751</v>
      </c>
      <c r="H661" s="662">
        <v>26598.569570860156</v>
      </c>
      <c r="I661" s="662">
        <v>27231.793448150031</v>
      </c>
      <c r="J661" s="662">
        <v>27898.352566138426</v>
      </c>
      <c r="K661" s="566" t="s">
        <v>1098</v>
      </c>
      <c r="L661" s="549"/>
      <c r="O661" s="654"/>
      <c r="S661" s="550"/>
      <c r="T661" s="547"/>
      <c r="U661" s="547"/>
      <c r="V661" s="547"/>
      <c r="W661" s="549"/>
    </row>
    <row r="662" spans="1:23">
      <c r="A662" s="565">
        <v>1356</v>
      </c>
      <c r="B662" s="696" t="s">
        <v>6069</v>
      </c>
      <c r="C662" s="566">
        <f t="shared" si="10"/>
        <v>1356</v>
      </c>
      <c r="D662" s="700" t="s">
        <v>2221</v>
      </c>
      <c r="E662" s="701" t="s">
        <v>8542</v>
      </c>
      <c r="F662" s="566">
        <v>2</v>
      </c>
      <c r="G662" s="662">
        <v>26031.207114208752</v>
      </c>
      <c r="H662" s="662">
        <v>26633.689139281014</v>
      </c>
      <c r="I662" s="662">
        <v>27267.903749248988</v>
      </c>
      <c r="J662" s="662">
        <v>0</v>
      </c>
      <c r="K662" s="566" t="s">
        <v>1099</v>
      </c>
      <c r="L662" s="549"/>
      <c r="O662" s="654"/>
      <c r="S662" s="550"/>
      <c r="T662" s="547"/>
      <c r="U662" s="547"/>
      <c r="V662" s="547"/>
      <c r="W662" s="549"/>
    </row>
    <row r="663" spans="1:23">
      <c r="A663" s="565">
        <v>1357</v>
      </c>
      <c r="B663" s="696" t="s">
        <v>6070</v>
      </c>
      <c r="C663" s="566">
        <f t="shared" si="10"/>
        <v>1357</v>
      </c>
      <c r="D663" s="700" t="s">
        <v>2221</v>
      </c>
      <c r="E663" s="701" t="s">
        <v>8543</v>
      </c>
      <c r="F663" s="566">
        <v>2</v>
      </c>
      <c r="G663" s="662">
        <v>26731.81752862034</v>
      </c>
      <c r="H663" s="662">
        <v>27353.24003136222</v>
      </c>
      <c r="I663" s="662">
        <v>28007.385851677911</v>
      </c>
      <c r="J663" s="662">
        <v>0</v>
      </c>
      <c r="K663" s="566" t="s">
        <v>1100</v>
      </c>
      <c r="L663" s="549"/>
      <c r="O663" s="654"/>
      <c r="S663" s="550"/>
      <c r="T663" s="547"/>
      <c r="U663" s="547"/>
      <c r="V663" s="547"/>
      <c r="W663" s="549"/>
    </row>
    <row r="664" spans="1:23">
      <c r="A664" s="565">
        <v>1358</v>
      </c>
      <c r="B664" s="696" t="s">
        <v>6071</v>
      </c>
      <c r="C664" s="566">
        <f t="shared" si="10"/>
        <v>1358</v>
      </c>
      <c r="D664" s="700" t="s">
        <v>2221</v>
      </c>
      <c r="E664" s="701" t="s">
        <v>8544</v>
      </c>
      <c r="F664" s="566">
        <v>2</v>
      </c>
      <c r="G664" s="662">
        <v>26697.544531916312</v>
      </c>
      <c r="H664" s="662">
        <v>27318.034580372921</v>
      </c>
      <c r="I664" s="662">
        <v>27971.189668010509</v>
      </c>
      <c r="J664" s="662">
        <v>28658.729007417558</v>
      </c>
      <c r="K664" s="566" t="s">
        <v>1101</v>
      </c>
      <c r="L664" s="549"/>
      <c r="O664" s="654"/>
      <c r="S664" s="550"/>
      <c r="T664" s="547"/>
      <c r="U664" s="547"/>
      <c r="V664" s="547"/>
      <c r="W664" s="549"/>
    </row>
    <row r="665" spans="1:23">
      <c r="A665" s="565">
        <v>1359</v>
      </c>
      <c r="B665" s="696" t="s">
        <v>6072</v>
      </c>
      <c r="C665" s="566">
        <f t="shared" si="10"/>
        <v>1359</v>
      </c>
      <c r="D665" s="700" t="s">
        <v>2221</v>
      </c>
      <c r="E665" s="701" t="s">
        <v>8545</v>
      </c>
      <c r="F665" s="566">
        <v>2</v>
      </c>
      <c r="G665" s="662">
        <v>26998.681607261118</v>
      </c>
      <c r="H665" s="662">
        <v>27627.330630713866</v>
      </c>
      <c r="I665" s="662">
        <v>28289.052642097406</v>
      </c>
      <c r="J665" s="662">
        <v>0</v>
      </c>
      <c r="K665" s="566" t="s">
        <v>1102</v>
      </c>
      <c r="L665" s="549"/>
      <c r="O665" s="654"/>
      <c r="S665" s="550"/>
      <c r="T665" s="547"/>
      <c r="U665" s="547"/>
      <c r="V665" s="547"/>
      <c r="W665" s="549"/>
    </row>
    <row r="666" spans="1:23">
      <c r="A666" s="565">
        <v>1360</v>
      </c>
      <c r="B666" s="696" t="s">
        <v>6073</v>
      </c>
      <c r="C666" s="566">
        <f t="shared" si="10"/>
        <v>1360</v>
      </c>
      <c r="D666" s="700" t="s">
        <v>2221</v>
      </c>
      <c r="E666" s="701" t="s">
        <v>8546</v>
      </c>
      <c r="F666" s="566">
        <v>2</v>
      </c>
      <c r="G666" s="662">
        <v>27699.292021672707</v>
      </c>
      <c r="H666" s="662">
        <v>28346.881522795069</v>
      </c>
      <c r="I666" s="662">
        <v>29028.534744526332</v>
      </c>
      <c r="J666" s="662">
        <v>29746.058317044197</v>
      </c>
      <c r="K666" s="566" t="s">
        <v>1103</v>
      </c>
      <c r="L666" s="549"/>
      <c r="O666" s="654"/>
      <c r="S666" s="550"/>
      <c r="T666" s="547"/>
      <c r="U666" s="547"/>
      <c r="V666" s="547"/>
      <c r="W666" s="549"/>
    </row>
    <row r="667" spans="1:23">
      <c r="A667" s="565">
        <v>1361</v>
      </c>
      <c r="B667" s="696" t="s">
        <v>6074</v>
      </c>
      <c r="C667" s="566">
        <f t="shared" si="10"/>
        <v>1361</v>
      </c>
      <c r="D667" s="700" t="s">
        <v>2221</v>
      </c>
      <c r="E667" s="701" t="s">
        <v>8547</v>
      </c>
      <c r="F667" s="566">
        <v>2</v>
      </c>
      <c r="G667" s="662">
        <v>27733.508275004708</v>
      </c>
      <c r="H667" s="662">
        <v>28382.001091215927</v>
      </c>
      <c r="I667" s="662">
        <v>29064.645045625282</v>
      </c>
      <c r="J667" s="662">
        <v>0</v>
      </c>
      <c r="K667" s="566" t="s">
        <v>1104</v>
      </c>
      <c r="L667" s="549"/>
      <c r="O667" s="654"/>
      <c r="S667" s="550"/>
      <c r="T667" s="547"/>
      <c r="U667" s="547"/>
      <c r="V667" s="547"/>
      <c r="W667" s="549"/>
    </row>
    <row r="668" spans="1:23">
      <c r="A668" s="565">
        <v>1362</v>
      </c>
      <c r="B668" s="695" t="s">
        <v>6075</v>
      </c>
      <c r="C668" s="566">
        <f t="shared" si="10"/>
        <v>1362</v>
      </c>
      <c r="D668" s="699" t="s">
        <v>2221</v>
      </c>
      <c r="E668" s="701" t="s">
        <v>8548</v>
      </c>
      <c r="F668" s="567">
        <v>2</v>
      </c>
      <c r="G668" s="662">
        <v>28434.118689416289</v>
      </c>
      <c r="H668" s="662">
        <v>29101.551983297129</v>
      </c>
      <c r="I668" s="662">
        <v>29804.127148054209</v>
      </c>
      <c r="J668" s="662">
        <v>0</v>
      </c>
      <c r="K668" s="568" t="s">
        <v>1105</v>
      </c>
      <c r="L668" s="549"/>
      <c r="O668" s="654"/>
      <c r="S668" s="550"/>
      <c r="T668" s="547"/>
      <c r="U668" s="547"/>
      <c r="V668" s="547"/>
      <c r="W668" s="549"/>
    </row>
    <row r="669" spans="1:23">
      <c r="A669" s="565">
        <v>1363</v>
      </c>
      <c r="B669" s="696" t="s">
        <v>6076</v>
      </c>
      <c r="C669" s="566">
        <f t="shared" si="10"/>
        <v>1363</v>
      </c>
      <c r="D669" s="700" t="s">
        <v>2221</v>
      </c>
      <c r="E669" s="701" t="s">
        <v>8549</v>
      </c>
      <c r="F669" s="566">
        <v>2</v>
      </c>
      <c r="G669" s="662">
        <v>28399.845692712268</v>
      </c>
      <c r="H669" s="662">
        <v>29066.346532307834</v>
      </c>
      <c r="I669" s="662">
        <v>29767.930964386807</v>
      </c>
      <c r="J669" s="662">
        <v>30506.434758323325</v>
      </c>
      <c r="K669" s="566" t="s">
        <v>1106</v>
      </c>
      <c r="L669" s="549"/>
      <c r="O669" s="654"/>
      <c r="S669" s="550"/>
      <c r="T669" s="547"/>
      <c r="U669" s="547"/>
      <c r="V669" s="547"/>
      <c r="W669" s="549"/>
    </row>
    <row r="670" spans="1:23">
      <c r="A670" s="565">
        <v>1364</v>
      </c>
      <c r="B670" s="696" t="s">
        <v>6077</v>
      </c>
      <c r="C670" s="566">
        <f t="shared" si="10"/>
        <v>1364</v>
      </c>
      <c r="D670" s="700" t="s">
        <v>2221</v>
      </c>
      <c r="E670" s="701" t="s">
        <v>8550</v>
      </c>
      <c r="F670" s="566">
        <v>2</v>
      </c>
      <c r="G670" s="662">
        <v>0</v>
      </c>
      <c r="H670" s="662">
        <v>0</v>
      </c>
      <c r="I670" s="662">
        <v>41145.659875958685</v>
      </c>
      <c r="J670" s="662">
        <v>42104.805665148015</v>
      </c>
      <c r="K670" s="566" t="s">
        <v>4723</v>
      </c>
      <c r="L670" s="549"/>
      <c r="O670" s="654"/>
      <c r="S670" s="550"/>
      <c r="T670" s="547"/>
      <c r="U670" s="547"/>
      <c r="V670" s="547"/>
      <c r="W670" s="549"/>
    </row>
    <row r="671" spans="1:23">
      <c r="A671" s="565">
        <v>1365</v>
      </c>
      <c r="B671" s="696" t="s">
        <v>6078</v>
      </c>
      <c r="C671" s="566">
        <f t="shared" si="10"/>
        <v>1365</v>
      </c>
      <c r="D671" s="700" t="s">
        <v>2221</v>
      </c>
      <c r="E671" s="701" t="s">
        <v>8551</v>
      </c>
      <c r="F671" s="566">
        <v>2</v>
      </c>
      <c r="G671" s="662">
        <v>0</v>
      </c>
      <c r="H671" s="662">
        <v>0</v>
      </c>
      <c r="I671" s="662">
        <v>36037.244844617198</v>
      </c>
      <c r="J671" s="662">
        <v>0</v>
      </c>
      <c r="K671" s="566" t="s">
        <v>4724</v>
      </c>
      <c r="L671" s="549"/>
      <c r="O671" s="654"/>
      <c r="S671" s="550"/>
      <c r="T671" s="547"/>
      <c r="U671" s="547"/>
      <c r="V671" s="547"/>
      <c r="W671" s="549"/>
    </row>
    <row r="672" spans="1:23">
      <c r="A672" s="565">
        <v>1366</v>
      </c>
      <c r="B672" s="696" t="s">
        <v>6079</v>
      </c>
      <c r="C672" s="566">
        <f t="shared" si="10"/>
        <v>1366</v>
      </c>
      <c r="D672" s="700" t="s">
        <v>2221</v>
      </c>
      <c r="E672" s="701" t="s">
        <v>8552</v>
      </c>
      <c r="F672" s="566">
        <v>2</v>
      </c>
      <c r="G672" s="662">
        <v>28132.981614071487</v>
      </c>
      <c r="H672" s="662">
        <v>28792.285072152597</v>
      </c>
      <c r="I672" s="662">
        <v>29486.293313163729</v>
      </c>
      <c r="J672" s="662">
        <v>30216.812967282596</v>
      </c>
      <c r="K672" s="566" t="s">
        <v>1107</v>
      </c>
      <c r="L672" s="549"/>
      <c r="O672" s="654"/>
      <c r="S672" s="550"/>
      <c r="T672" s="547"/>
      <c r="U672" s="547"/>
      <c r="V672" s="547"/>
      <c r="W672" s="549"/>
    </row>
    <row r="673" spans="1:23">
      <c r="A673" s="565">
        <v>1367</v>
      </c>
      <c r="B673" s="696" t="s">
        <v>6080</v>
      </c>
      <c r="C673" s="566">
        <f t="shared" si="10"/>
        <v>1367</v>
      </c>
      <c r="D673" s="700" t="s">
        <v>2221</v>
      </c>
      <c r="E673" s="701" t="s">
        <v>8553</v>
      </c>
      <c r="F673" s="566">
        <v>2</v>
      </c>
      <c r="G673" s="662">
        <v>29835.282774867443</v>
      </c>
      <c r="H673" s="662">
        <v>30540.597024087518</v>
      </c>
      <c r="I673" s="662">
        <v>31283.034609540024</v>
      </c>
      <c r="J673" s="662">
        <v>32064.547857384783</v>
      </c>
      <c r="K673" s="566" t="s">
        <v>1108</v>
      </c>
      <c r="L673" s="549"/>
      <c r="O673" s="654"/>
      <c r="S673" s="550"/>
      <c r="T673" s="547"/>
      <c r="U673" s="547"/>
      <c r="V673" s="547"/>
      <c r="W673" s="549"/>
    </row>
    <row r="674" spans="1:23">
      <c r="A674" s="565">
        <v>1368</v>
      </c>
      <c r="B674" s="695" t="s">
        <v>6081</v>
      </c>
      <c r="C674" s="566">
        <f t="shared" si="10"/>
        <v>1368</v>
      </c>
      <c r="D674" s="699" t="s">
        <v>2221</v>
      </c>
      <c r="E674" s="701" t="s">
        <v>8554</v>
      </c>
      <c r="F674" s="567">
        <v>2</v>
      </c>
      <c r="G674" s="662">
        <v>27432.371199659898</v>
      </c>
      <c r="H674" s="662">
        <v>28072.734180071395</v>
      </c>
      <c r="I674" s="662">
        <v>28746.811210734802</v>
      </c>
      <c r="J674" s="662">
        <v>29456.35064343502</v>
      </c>
      <c r="K674" s="568" t="s">
        <v>1109</v>
      </c>
      <c r="L674" s="549"/>
      <c r="O674" s="654"/>
      <c r="S674" s="550"/>
      <c r="T674" s="547"/>
      <c r="U674" s="547"/>
      <c r="V674" s="547"/>
      <c r="W674" s="549"/>
    </row>
    <row r="675" spans="1:23">
      <c r="A675" s="565">
        <v>1369</v>
      </c>
      <c r="B675" s="696" t="s">
        <v>6082</v>
      </c>
      <c r="C675" s="566">
        <f t="shared" si="10"/>
        <v>1369</v>
      </c>
      <c r="D675" s="700" t="s">
        <v>2221</v>
      </c>
      <c r="E675" s="701" t="s">
        <v>8555</v>
      </c>
      <c r="F675" s="566">
        <v>2</v>
      </c>
      <c r="G675" s="662">
        <v>27398.154946327904</v>
      </c>
      <c r="H675" s="662">
        <v>28037.58547245412</v>
      </c>
      <c r="I675" s="662">
        <v>28710.671770439432</v>
      </c>
      <c r="J675" s="662">
        <v>29419.19133126513</v>
      </c>
      <c r="K675" s="566" t="s">
        <v>1110</v>
      </c>
      <c r="L675" s="549"/>
      <c r="O675" s="654"/>
      <c r="S675" s="550"/>
      <c r="T675" s="547"/>
      <c r="U675" s="547"/>
      <c r="V675" s="547"/>
      <c r="W675" s="549"/>
    </row>
    <row r="676" spans="1:23">
      <c r="A676" s="565">
        <v>1370</v>
      </c>
      <c r="B676" s="696" t="s">
        <v>6083</v>
      </c>
      <c r="C676" s="566">
        <f t="shared" si="10"/>
        <v>1370</v>
      </c>
      <c r="D676" s="700" t="s">
        <v>2221</v>
      </c>
      <c r="E676" s="701" t="s">
        <v>8556</v>
      </c>
      <c r="F676" s="566">
        <v>2</v>
      </c>
      <c r="G676" s="662">
        <v>29134.672360455854</v>
      </c>
      <c r="H676" s="662">
        <v>29821.046132006308</v>
      </c>
      <c r="I676" s="662">
        <v>30543.552507111104</v>
      </c>
      <c r="J676" s="662">
        <v>31304.085533537207</v>
      </c>
      <c r="K676" s="566" t="s">
        <v>1111</v>
      </c>
      <c r="L676" s="549"/>
      <c r="O676" s="654"/>
      <c r="S676" s="550"/>
      <c r="T676" s="547"/>
      <c r="U676" s="547"/>
      <c r="V676" s="547"/>
      <c r="W676" s="549"/>
    </row>
    <row r="677" spans="1:23">
      <c r="A677" s="565">
        <v>1371</v>
      </c>
      <c r="B677" s="696" t="s">
        <v>6084</v>
      </c>
      <c r="C677" s="566">
        <f t="shared" si="10"/>
        <v>1371</v>
      </c>
      <c r="D677" s="700" t="s">
        <v>2221</v>
      </c>
      <c r="E677" s="701" t="s">
        <v>8557</v>
      </c>
      <c r="F677" s="566">
        <v>2</v>
      </c>
      <c r="G677" s="662">
        <v>29100.456107123853</v>
      </c>
      <c r="H677" s="662">
        <v>29785.897424389033</v>
      </c>
      <c r="I677" s="662">
        <v>30507.413066815727</v>
      </c>
      <c r="J677" s="662">
        <v>31266.897082170901</v>
      </c>
      <c r="K677" s="566" t="s">
        <v>1112</v>
      </c>
      <c r="L677" s="549"/>
      <c r="O677" s="654"/>
      <c r="S677" s="550"/>
      <c r="T677" s="547"/>
      <c r="U677" s="547"/>
      <c r="V677" s="547"/>
      <c r="W677" s="549"/>
    </row>
    <row r="678" spans="1:23">
      <c r="A678" s="565">
        <v>1372</v>
      </c>
      <c r="B678" s="696" t="s">
        <v>6085</v>
      </c>
      <c r="C678" s="566">
        <f t="shared" si="10"/>
        <v>1372</v>
      </c>
      <c r="D678" s="700" t="s">
        <v>2221</v>
      </c>
      <c r="E678" s="701" t="s">
        <v>8558</v>
      </c>
      <c r="F678" s="566">
        <v>2</v>
      </c>
      <c r="G678" s="662">
        <v>14611.561292728207</v>
      </c>
      <c r="H678" s="662">
        <v>14937.016977485033</v>
      </c>
      <c r="I678" s="662">
        <v>15279.606509733756</v>
      </c>
      <c r="J678" s="662">
        <v>0</v>
      </c>
      <c r="K678" s="566" t="s">
        <v>1113</v>
      </c>
      <c r="L678" s="549"/>
      <c r="O678" s="654"/>
      <c r="S678" s="550"/>
      <c r="T678" s="547"/>
      <c r="U678" s="547"/>
      <c r="V678" s="547"/>
      <c r="W678" s="549"/>
    </row>
    <row r="679" spans="1:23">
      <c r="A679" s="565">
        <v>1373</v>
      </c>
      <c r="B679" s="696" t="s">
        <v>6086</v>
      </c>
      <c r="C679" s="566">
        <f t="shared" si="10"/>
        <v>1373</v>
      </c>
      <c r="D679" s="700" t="s">
        <v>2221</v>
      </c>
      <c r="E679" s="701" t="s">
        <v>8559</v>
      </c>
      <c r="F679" s="566">
        <v>2</v>
      </c>
      <c r="G679" s="662">
        <v>0</v>
      </c>
      <c r="H679" s="662">
        <v>21414.514339414545</v>
      </c>
      <c r="I679" s="662">
        <v>21869.872561788521</v>
      </c>
      <c r="J679" s="662">
        <v>22349.183203615452</v>
      </c>
      <c r="K679" s="566" t="s">
        <v>4725</v>
      </c>
      <c r="L679" s="549"/>
      <c r="O679" s="654"/>
      <c r="S679" s="550"/>
      <c r="T679" s="547"/>
      <c r="U679" s="547"/>
      <c r="V679" s="547"/>
      <c r="W679" s="549"/>
    </row>
    <row r="680" spans="1:23">
      <c r="A680" s="565">
        <v>1374</v>
      </c>
      <c r="B680" s="696" t="s">
        <v>6087</v>
      </c>
      <c r="C680" s="566">
        <f t="shared" si="10"/>
        <v>1374</v>
      </c>
      <c r="D680" s="700" t="s">
        <v>2221</v>
      </c>
      <c r="E680" s="701" t="s">
        <v>8560</v>
      </c>
      <c r="F680" s="566">
        <v>2</v>
      </c>
      <c r="G680" s="662">
        <v>19988.088735324425</v>
      </c>
      <c r="H680" s="662">
        <v>20484.096136697037</v>
      </c>
      <c r="I680" s="662">
        <v>21006.212258057301</v>
      </c>
      <c r="J680" s="662">
        <v>0</v>
      </c>
      <c r="K680" s="566" t="s">
        <v>1114</v>
      </c>
      <c r="L680" s="549"/>
      <c r="O680" s="654"/>
      <c r="S680" s="550"/>
      <c r="T680" s="547"/>
      <c r="U680" s="547"/>
      <c r="V680" s="547"/>
      <c r="W680" s="549"/>
    </row>
    <row r="681" spans="1:23">
      <c r="A681" s="565">
        <v>1375</v>
      </c>
      <c r="B681" s="696" t="s">
        <v>6088</v>
      </c>
      <c r="C681" s="566">
        <f t="shared" si="10"/>
        <v>1375</v>
      </c>
      <c r="D681" s="700" t="s">
        <v>2221</v>
      </c>
      <c r="E681" s="701" t="s">
        <v>8561</v>
      </c>
      <c r="F681" s="566">
        <v>2</v>
      </c>
      <c r="G681" s="662">
        <v>0</v>
      </c>
      <c r="H681" s="662">
        <v>25182.576006368217</v>
      </c>
      <c r="I681" s="662">
        <v>25734.53066485723</v>
      </c>
      <c r="J681" s="662">
        <v>26347.852470995793</v>
      </c>
      <c r="K681" s="566" t="s">
        <v>3068</v>
      </c>
      <c r="L681" s="549"/>
      <c r="O681" s="654"/>
      <c r="S681" s="550"/>
      <c r="T681" s="547"/>
      <c r="U681" s="547"/>
      <c r="V681" s="547"/>
      <c r="W681" s="549"/>
    </row>
    <row r="682" spans="1:23">
      <c r="A682" s="565">
        <v>1376</v>
      </c>
      <c r="B682" s="696" t="s">
        <v>6089</v>
      </c>
      <c r="C682" s="566">
        <f t="shared" si="10"/>
        <v>1376</v>
      </c>
      <c r="D682" s="700" t="s">
        <v>2221</v>
      </c>
      <c r="E682" s="701" t="s">
        <v>8562</v>
      </c>
      <c r="F682" s="566">
        <v>2</v>
      </c>
      <c r="G682" s="662">
        <v>0</v>
      </c>
      <c r="H682" s="662">
        <v>26797.459577919788</v>
      </c>
      <c r="I682" s="662">
        <v>27423.806604855767</v>
      </c>
      <c r="J682" s="662">
        <v>28050.153631791753</v>
      </c>
      <c r="K682" s="566" t="s">
        <v>3069</v>
      </c>
      <c r="L682" s="549"/>
      <c r="O682" s="654"/>
      <c r="S682" s="550"/>
      <c r="T682" s="547"/>
      <c r="U682" s="547"/>
      <c r="V682" s="547"/>
      <c r="W682" s="549"/>
    </row>
    <row r="683" spans="1:23">
      <c r="A683" s="565">
        <v>1377</v>
      </c>
      <c r="B683" s="696" t="s">
        <v>6090</v>
      </c>
      <c r="C683" s="566">
        <f t="shared" si="10"/>
        <v>1377</v>
      </c>
      <c r="D683" s="700" t="s">
        <v>2221</v>
      </c>
      <c r="E683" s="701" t="s">
        <v>8563</v>
      </c>
      <c r="F683" s="566">
        <v>2</v>
      </c>
      <c r="G683" s="662">
        <v>20335.918109506729</v>
      </c>
      <c r="H683" s="662">
        <v>20809.167798479382</v>
      </c>
      <c r="I683" s="662">
        <v>21307.331500386688</v>
      </c>
      <c r="J683" s="662">
        <v>21831.720479067306</v>
      </c>
      <c r="K683" s="566" t="s">
        <v>1115</v>
      </c>
      <c r="L683" s="549"/>
      <c r="O683" s="654"/>
      <c r="S683" s="550"/>
      <c r="T683" s="547"/>
      <c r="U683" s="547"/>
      <c r="V683" s="547"/>
      <c r="W683" s="549"/>
    </row>
    <row r="684" spans="1:23">
      <c r="A684" s="565">
        <v>1378</v>
      </c>
      <c r="B684" s="696" t="s">
        <v>6091</v>
      </c>
      <c r="C684" s="566">
        <f t="shared" si="10"/>
        <v>1378</v>
      </c>
      <c r="D684" s="700" t="s">
        <v>2221</v>
      </c>
      <c r="E684" s="701" t="s">
        <v>8564</v>
      </c>
      <c r="F684" s="566">
        <v>2</v>
      </c>
      <c r="G684" s="662">
        <v>21354.084137771744</v>
      </c>
      <c r="H684" s="662">
        <v>21856.239909587872</v>
      </c>
      <c r="I684" s="662">
        <v>22384.824932552223</v>
      </c>
      <c r="J684" s="662">
        <v>22941.237888092703</v>
      </c>
      <c r="K684" s="566" t="s">
        <v>1116</v>
      </c>
      <c r="L684" s="549"/>
      <c r="O684" s="654"/>
      <c r="S684" s="550"/>
      <c r="T684" s="547"/>
      <c r="U684" s="547"/>
      <c r="V684" s="547"/>
      <c r="W684" s="549"/>
    </row>
    <row r="685" spans="1:23">
      <c r="A685" s="565">
        <v>1379</v>
      </c>
      <c r="B685" s="696" t="s">
        <v>6092</v>
      </c>
      <c r="C685" s="566">
        <f t="shared" si="10"/>
        <v>1379</v>
      </c>
      <c r="D685" s="700" t="s">
        <v>2221</v>
      </c>
      <c r="E685" s="701" t="s">
        <v>8565</v>
      </c>
      <c r="F685" s="566">
        <v>2</v>
      </c>
      <c r="G685" s="662">
        <v>18846.629308115134</v>
      </c>
      <c r="H685" s="662">
        <v>19307.961065754134</v>
      </c>
      <c r="I685" s="662">
        <v>19793.565774006667</v>
      </c>
      <c r="J685" s="662">
        <v>20304.725557514968</v>
      </c>
      <c r="K685" s="566" t="s">
        <v>1117</v>
      </c>
      <c r="L685" s="549"/>
      <c r="O685" s="654"/>
      <c r="S685" s="550"/>
      <c r="T685" s="547"/>
      <c r="U685" s="547"/>
      <c r="V685" s="547"/>
      <c r="W685" s="549"/>
    </row>
    <row r="686" spans="1:23">
      <c r="A686" s="565">
        <v>1380</v>
      </c>
      <c r="B686" s="696" t="s">
        <v>6093</v>
      </c>
      <c r="C686" s="566">
        <f t="shared" si="10"/>
        <v>1380</v>
      </c>
      <c r="D686" s="700" t="s">
        <v>2221</v>
      </c>
      <c r="E686" s="701" t="s">
        <v>8566</v>
      </c>
      <c r="F686" s="566">
        <v>2</v>
      </c>
      <c r="G686" s="662">
        <v>17590.353138378352</v>
      </c>
      <c r="H686" s="662">
        <v>18013.541687910398</v>
      </c>
      <c r="I686" s="662">
        <v>18458.992583503343</v>
      </c>
      <c r="J686" s="662">
        <v>18927.900532210191</v>
      </c>
      <c r="K686" s="566" t="s">
        <v>1118</v>
      </c>
      <c r="L686" s="549"/>
      <c r="O686" s="654"/>
      <c r="S686" s="550"/>
      <c r="T686" s="547"/>
      <c r="U686" s="547"/>
      <c r="V686" s="547"/>
      <c r="W686" s="549"/>
    </row>
    <row r="687" spans="1:23">
      <c r="A687" s="565">
        <v>1381</v>
      </c>
      <c r="B687" s="696" t="s">
        <v>6094</v>
      </c>
      <c r="C687" s="566">
        <f t="shared" si="10"/>
        <v>1381</v>
      </c>
      <c r="D687" s="700" t="s">
        <v>2221</v>
      </c>
      <c r="E687" s="701" t="s">
        <v>8567</v>
      </c>
      <c r="F687" s="566">
        <v>2</v>
      </c>
      <c r="G687" s="662">
        <v>20484.096136697037</v>
      </c>
      <c r="H687" s="662">
        <v>21006.212258057301</v>
      </c>
      <c r="I687" s="662">
        <v>21555.806641636715</v>
      </c>
      <c r="J687" s="662">
        <v>22134.307108059606</v>
      </c>
      <c r="K687" s="566" t="s">
        <v>1119</v>
      </c>
      <c r="L687" s="549"/>
      <c r="O687" s="654"/>
      <c r="S687" s="550"/>
      <c r="T687" s="547"/>
      <c r="U687" s="547"/>
      <c r="V687" s="547"/>
      <c r="W687" s="549"/>
    </row>
    <row r="688" spans="1:23">
      <c r="A688" s="565">
        <v>1382</v>
      </c>
      <c r="B688" s="696" t="s">
        <v>6095</v>
      </c>
      <c r="C688" s="566">
        <f t="shared" si="10"/>
        <v>1382</v>
      </c>
      <c r="D688" s="700" t="s">
        <v>2221</v>
      </c>
      <c r="E688" s="701" t="s">
        <v>8568</v>
      </c>
      <c r="F688" s="566">
        <v>2</v>
      </c>
      <c r="G688" s="662">
        <v>18731.78342639123</v>
      </c>
      <c r="H688" s="662">
        <v>19189.618480460464</v>
      </c>
      <c r="I688" s="662">
        <v>19671.551649964724</v>
      </c>
      <c r="J688" s="662">
        <v>20178.865059546275</v>
      </c>
      <c r="K688" s="566" t="s">
        <v>1120</v>
      </c>
      <c r="L688" s="549"/>
      <c r="O688" s="654"/>
      <c r="S688" s="550"/>
      <c r="T688" s="547"/>
      <c r="U688" s="547"/>
      <c r="V688" s="547"/>
      <c r="W688" s="549"/>
    </row>
    <row r="689" spans="1:23">
      <c r="A689" s="565">
        <v>1383</v>
      </c>
      <c r="B689" s="696" t="s">
        <v>6096</v>
      </c>
      <c r="C689" s="566">
        <f t="shared" si="10"/>
        <v>1383</v>
      </c>
      <c r="D689" s="700" t="s">
        <v>2221</v>
      </c>
      <c r="E689" s="701" t="s">
        <v>8569</v>
      </c>
      <c r="F689" s="566">
        <v>2</v>
      </c>
      <c r="G689" s="662">
        <v>0</v>
      </c>
      <c r="H689" s="662">
        <v>0</v>
      </c>
      <c r="I689" s="662">
        <v>0</v>
      </c>
      <c r="J689" s="662">
        <v>23568.230729340496</v>
      </c>
      <c r="K689" s="566" t="s">
        <v>4726</v>
      </c>
      <c r="L689" s="549"/>
      <c r="O689" s="654"/>
      <c r="S689" s="550"/>
      <c r="T689" s="547"/>
      <c r="U689" s="547"/>
      <c r="V689" s="547"/>
      <c r="W689" s="549"/>
    </row>
    <row r="690" spans="1:23">
      <c r="A690" s="565">
        <v>1384</v>
      </c>
      <c r="B690" s="696" t="s">
        <v>6097</v>
      </c>
      <c r="C690" s="566">
        <f t="shared" si="10"/>
        <v>1384</v>
      </c>
      <c r="D690" s="700" t="s">
        <v>2221</v>
      </c>
      <c r="E690" s="701" t="s">
        <v>8570</v>
      </c>
      <c r="F690" s="566">
        <v>2</v>
      </c>
      <c r="G690" s="662">
        <v>23026.645565403898</v>
      </c>
      <c r="H690" s="662">
        <v>23547.916650068131</v>
      </c>
      <c r="I690" s="662">
        <v>24096.6368577551</v>
      </c>
      <c r="J690" s="662">
        <v>24674.234009089134</v>
      </c>
      <c r="K690" s="566" t="s">
        <v>1121</v>
      </c>
      <c r="L690" s="549"/>
      <c r="M690" s="575"/>
      <c r="O690" s="654"/>
      <c r="S690" s="550"/>
      <c r="T690" s="547"/>
      <c r="U690" s="547"/>
      <c r="V690" s="547"/>
      <c r="W690" s="549"/>
    </row>
    <row r="691" spans="1:23">
      <c r="A691" s="565">
        <v>1385</v>
      </c>
      <c r="B691" s="695" t="s">
        <v>6098</v>
      </c>
      <c r="C691" s="566">
        <f t="shared" si="10"/>
        <v>1385</v>
      </c>
      <c r="D691" s="699" t="s">
        <v>2221</v>
      </c>
      <c r="E691" s="701" t="s">
        <v>8571</v>
      </c>
      <c r="F691" s="567">
        <v>2</v>
      </c>
      <c r="G691" s="662">
        <v>24728.946726199847</v>
      </c>
      <c r="H691" s="662">
        <v>25296.228602003044</v>
      </c>
      <c r="I691" s="662">
        <v>25893.378154131395</v>
      </c>
      <c r="J691" s="662">
        <v>26521.968899191321</v>
      </c>
      <c r="K691" s="568" t="s">
        <v>1122</v>
      </c>
      <c r="L691" s="549"/>
      <c r="M691" s="572"/>
      <c r="O691" s="654"/>
      <c r="S691" s="550"/>
      <c r="T691" s="547"/>
      <c r="U691" s="547"/>
      <c r="V691" s="547"/>
      <c r="W691" s="549"/>
    </row>
    <row r="692" spans="1:23">
      <c r="A692" s="565">
        <v>1386</v>
      </c>
      <c r="B692" s="696" t="s">
        <v>6099</v>
      </c>
      <c r="C692" s="566">
        <f t="shared" si="10"/>
        <v>1386</v>
      </c>
      <c r="D692" s="700" t="s">
        <v>2221</v>
      </c>
      <c r="E692" s="701" t="s">
        <v>8572</v>
      </c>
      <c r="F692" s="566">
        <v>2</v>
      </c>
      <c r="G692" s="662">
        <v>0</v>
      </c>
      <c r="H692" s="662">
        <v>0</v>
      </c>
      <c r="I692" s="662">
        <v>0</v>
      </c>
      <c r="J692" s="662">
        <v>24599.205628989152</v>
      </c>
      <c r="K692" s="566" t="s">
        <v>4727</v>
      </c>
      <c r="L692" s="549"/>
      <c r="M692" s="572"/>
      <c r="O692" s="654"/>
      <c r="S692" s="550"/>
      <c r="T692" s="547"/>
      <c r="U692" s="547"/>
      <c r="V692" s="547"/>
      <c r="W692" s="549"/>
    </row>
    <row r="693" spans="1:23">
      <c r="A693" s="565">
        <v>1387</v>
      </c>
      <c r="B693" s="696" t="s">
        <v>6100</v>
      </c>
      <c r="C693" s="566">
        <f t="shared" si="10"/>
        <v>1387</v>
      </c>
      <c r="D693" s="700" t="s">
        <v>2221</v>
      </c>
      <c r="E693" s="701" t="s">
        <v>8573</v>
      </c>
      <c r="F693" s="566">
        <v>2</v>
      </c>
      <c r="G693" s="662">
        <v>17674.374918307571</v>
      </c>
      <c r="H693" s="662">
        <v>18259.890179287755</v>
      </c>
      <c r="I693" s="662">
        <v>18876.223954784149</v>
      </c>
      <c r="J693" s="662">
        <v>19525.019412039906</v>
      </c>
      <c r="K693" s="566" t="s">
        <v>1123</v>
      </c>
      <c r="L693" s="549"/>
      <c r="M693" s="572"/>
      <c r="O693" s="654"/>
      <c r="S693" s="550"/>
      <c r="T693" s="547"/>
      <c r="U693" s="547"/>
      <c r="V693" s="547"/>
      <c r="W693" s="549"/>
    </row>
    <row r="694" spans="1:23">
      <c r="A694" s="565">
        <v>1388</v>
      </c>
      <c r="B694" s="696" t="s">
        <v>6101</v>
      </c>
      <c r="C694" s="566">
        <f t="shared" si="10"/>
        <v>1388</v>
      </c>
      <c r="D694" s="700" t="s">
        <v>2221</v>
      </c>
      <c r="E694" s="701" t="s">
        <v>8574</v>
      </c>
      <c r="F694" s="566">
        <v>2</v>
      </c>
      <c r="G694" s="662">
        <v>18693.523444782804</v>
      </c>
      <c r="H694" s="662">
        <v>19322.783469258742</v>
      </c>
      <c r="I694" s="662">
        <v>19985.162442391305</v>
      </c>
      <c r="J694" s="662">
        <v>20682.413075906534</v>
      </c>
      <c r="K694" s="566" t="s">
        <v>1124</v>
      </c>
      <c r="L694" s="549"/>
      <c r="M694" s="571"/>
      <c r="O694" s="654"/>
      <c r="S694" s="550"/>
      <c r="T694" s="547"/>
      <c r="U694" s="547"/>
      <c r="V694" s="547"/>
      <c r="W694" s="549"/>
    </row>
    <row r="695" spans="1:23">
      <c r="A695" s="565">
        <v>1389</v>
      </c>
      <c r="B695" s="696" t="s">
        <v>6102</v>
      </c>
      <c r="C695" s="566">
        <f t="shared" si="10"/>
        <v>1389</v>
      </c>
      <c r="D695" s="700" t="s">
        <v>2221</v>
      </c>
      <c r="E695" s="701" t="s">
        <v>8575</v>
      </c>
      <c r="F695" s="566">
        <v>2</v>
      </c>
      <c r="G695" s="662">
        <v>20609.604607548226</v>
      </c>
      <c r="H695" s="662">
        <v>21304.262688302017</v>
      </c>
      <c r="I695" s="662">
        <v>22035.472111509276</v>
      </c>
      <c r="J695" s="662">
        <v>22805.168163034152</v>
      </c>
      <c r="K695" s="566" t="s">
        <v>1125</v>
      </c>
      <c r="L695" s="549"/>
      <c r="M695" s="570"/>
      <c r="O695" s="654"/>
      <c r="S695" s="550"/>
      <c r="T695" s="547"/>
      <c r="U695" s="547"/>
      <c r="V695" s="547"/>
      <c r="W695" s="549"/>
    </row>
    <row r="696" spans="1:23">
      <c r="A696" s="565">
        <v>1390</v>
      </c>
      <c r="B696" s="696" t="s">
        <v>6103</v>
      </c>
      <c r="C696" s="566">
        <f t="shared" si="10"/>
        <v>1390</v>
      </c>
      <c r="D696" s="700" t="s">
        <v>2221</v>
      </c>
      <c r="E696" s="701" t="s">
        <v>8576</v>
      </c>
      <c r="F696" s="566">
        <v>2</v>
      </c>
      <c r="G696" s="662">
        <v>21211.446780673326</v>
      </c>
      <c r="H696" s="662">
        <v>21931.300092488949</v>
      </c>
      <c r="I696" s="662">
        <v>22689.055795380176</v>
      </c>
      <c r="J696" s="662">
        <v>23486.685690038819</v>
      </c>
      <c r="K696" s="566" t="s">
        <v>1126</v>
      </c>
      <c r="L696" s="549"/>
      <c r="M696" s="570"/>
      <c r="O696" s="654"/>
      <c r="S696" s="550"/>
      <c r="T696" s="547"/>
      <c r="U696" s="547"/>
      <c r="V696" s="547"/>
      <c r="W696" s="549"/>
    </row>
    <row r="697" spans="1:23">
      <c r="A697" s="565">
        <v>1391</v>
      </c>
      <c r="B697" s="696" t="s">
        <v>6104</v>
      </c>
      <c r="C697" s="566">
        <f t="shared" si="10"/>
        <v>1391</v>
      </c>
      <c r="D697" s="700" t="s">
        <v>2221</v>
      </c>
      <c r="E697" s="701" t="s">
        <v>8577</v>
      </c>
      <c r="F697" s="566">
        <v>2</v>
      </c>
      <c r="G697" s="662">
        <v>0</v>
      </c>
      <c r="H697" s="662">
        <v>0</v>
      </c>
      <c r="I697" s="662">
        <v>0</v>
      </c>
      <c r="J697" s="662">
        <v>25776.920488451633</v>
      </c>
      <c r="K697" s="566" t="s">
        <v>4728</v>
      </c>
      <c r="L697" s="549"/>
      <c r="M697" s="559"/>
      <c r="O697" s="654"/>
      <c r="S697" s="550"/>
      <c r="T697" s="547"/>
      <c r="U697" s="547"/>
      <c r="V697" s="547"/>
      <c r="W697" s="549"/>
    </row>
    <row r="698" spans="1:23">
      <c r="A698" s="565">
        <v>1392</v>
      </c>
      <c r="B698" s="695" t="s">
        <v>6105</v>
      </c>
      <c r="C698" s="566">
        <f t="shared" si="10"/>
        <v>1392</v>
      </c>
      <c r="D698" s="699" t="s">
        <v>2221</v>
      </c>
      <c r="E698" s="701" t="s">
        <v>8578</v>
      </c>
      <c r="F698" s="567">
        <v>2</v>
      </c>
      <c r="G698" s="662">
        <v>17826.040102816201</v>
      </c>
      <c r="H698" s="662">
        <v>18410.021741036115</v>
      </c>
      <c r="I698" s="662">
        <v>19024.748864116955</v>
      </c>
      <c r="J698" s="662">
        <v>19671.828124474301</v>
      </c>
      <c r="K698" s="568" t="s">
        <v>1127</v>
      </c>
      <c r="L698" s="549"/>
      <c r="M698" s="559"/>
      <c r="O698" s="654"/>
      <c r="S698" s="550"/>
      <c r="T698" s="547"/>
      <c r="U698" s="547"/>
      <c r="V698" s="547"/>
      <c r="W698" s="549"/>
    </row>
    <row r="699" spans="1:23">
      <c r="A699" s="565">
        <v>1393</v>
      </c>
      <c r="B699" s="696" t="s">
        <v>6106</v>
      </c>
      <c r="C699" s="566">
        <f t="shared" si="10"/>
        <v>1393</v>
      </c>
      <c r="D699" s="700" t="s">
        <v>2221</v>
      </c>
      <c r="E699" s="701" t="s">
        <v>8579</v>
      </c>
      <c r="F699" s="566">
        <v>2</v>
      </c>
      <c r="G699" s="662">
        <v>18774.857916836798</v>
      </c>
      <c r="H699" s="662">
        <v>19234.004234744698</v>
      </c>
      <c r="I699" s="662">
        <v>19717.33608567687</v>
      </c>
      <c r="J699" s="662">
        <v>0</v>
      </c>
      <c r="K699" s="566" t="s">
        <v>1128</v>
      </c>
      <c r="L699" s="549"/>
      <c r="M699" s="559"/>
      <c r="O699" s="654"/>
      <c r="S699" s="550"/>
      <c r="T699" s="547"/>
      <c r="U699" s="547"/>
      <c r="V699" s="547"/>
      <c r="W699" s="549"/>
    </row>
    <row r="700" spans="1:23">
      <c r="A700" s="565">
        <v>1394</v>
      </c>
      <c r="B700" s="696" t="s">
        <v>6107</v>
      </c>
      <c r="C700" s="566">
        <f t="shared" si="10"/>
        <v>1394</v>
      </c>
      <c r="D700" s="700" t="s">
        <v>2221</v>
      </c>
      <c r="E700" s="701" t="s">
        <v>8580</v>
      </c>
      <c r="F700" s="566">
        <v>2</v>
      </c>
      <c r="G700" s="662">
        <v>22407.376147091483</v>
      </c>
      <c r="H700" s="662">
        <v>22976.843462625788</v>
      </c>
      <c r="I700" s="662">
        <v>23576.295011270915</v>
      </c>
      <c r="J700" s="662">
        <v>0</v>
      </c>
      <c r="K700" s="566" t="s">
        <v>1129</v>
      </c>
      <c r="L700" s="549"/>
      <c r="M700" s="559"/>
      <c r="O700" s="654"/>
      <c r="S700" s="550"/>
      <c r="T700" s="547"/>
      <c r="U700" s="547"/>
      <c r="V700" s="547"/>
      <c r="W700" s="549"/>
    </row>
    <row r="701" spans="1:23">
      <c r="A701" s="565">
        <v>1395</v>
      </c>
      <c r="B701" s="696" t="s">
        <v>6108</v>
      </c>
      <c r="C701" s="566">
        <f t="shared" si="10"/>
        <v>1395</v>
      </c>
      <c r="D701" s="700" t="s">
        <v>2221</v>
      </c>
      <c r="E701" s="701" t="s">
        <v>8581</v>
      </c>
      <c r="F701" s="566">
        <v>2</v>
      </c>
      <c r="G701" s="662">
        <v>24058.341805186014</v>
      </c>
      <c r="H701" s="662">
        <v>24648.468810978411</v>
      </c>
      <c r="I701" s="662">
        <v>25269.629060952557</v>
      </c>
      <c r="J701" s="662">
        <v>25923.483489304101</v>
      </c>
      <c r="K701" s="566" t="s">
        <v>1130</v>
      </c>
      <c r="L701" s="549"/>
      <c r="M701" s="559"/>
      <c r="O701" s="654"/>
      <c r="S701" s="550"/>
      <c r="T701" s="547"/>
      <c r="U701" s="547"/>
      <c r="V701" s="547"/>
      <c r="W701" s="549"/>
    </row>
    <row r="702" spans="1:23">
      <c r="A702" s="565">
        <v>1396</v>
      </c>
      <c r="B702" s="696" t="s">
        <v>6109</v>
      </c>
      <c r="C702" s="566">
        <f t="shared" si="10"/>
        <v>1396</v>
      </c>
      <c r="D702" s="700" t="s">
        <v>2221</v>
      </c>
      <c r="E702" s="701" t="s">
        <v>8582</v>
      </c>
      <c r="F702" s="566">
        <v>2</v>
      </c>
      <c r="G702" s="662">
        <v>19420.975273520286</v>
      </c>
      <c r="H702" s="662">
        <v>19899.761409811756</v>
      </c>
      <c r="I702" s="662">
        <v>20403.723811805601</v>
      </c>
      <c r="J702" s="662">
        <v>20934.232021733325</v>
      </c>
      <c r="K702" s="566" t="s">
        <v>1131</v>
      </c>
      <c r="L702" s="549"/>
      <c r="M702" s="559"/>
      <c r="O702" s="654"/>
      <c r="S702" s="550"/>
      <c r="T702" s="547"/>
      <c r="U702" s="547"/>
      <c r="V702" s="547"/>
      <c r="W702" s="549"/>
    </row>
    <row r="703" spans="1:23">
      <c r="A703" s="565">
        <v>1397</v>
      </c>
      <c r="B703" s="696" t="s">
        <v>6110</v>
      </c>
      <c r="C703" s="566">
        <f t="shared" si="10"/>
        <v>1397</v>
      </c>
      <c r="D703" s="700" t="s">
        <v>2221</v>
      </c>
      <c r="E703" s="701" t="s">
        <v>8583</v>
      </c>
      <c r="F703" s="566">
        <v>2</v>
      </c>
      <c r="G703" s="662">
        <v>22407.376147091483</v>
      </c>
      <c r="H703" s="662">
        <v>22976.843462625788</v>
      </c>
      <c r="I703" s="662">
        <v>23576.295011270915</v>
      </c>
      <c r="J703" s="662">
        <v>24207.275170436846</v>
      </c>
      <c r="K703" s="566" t="s">
        <v>1132</v>
      </c>
      <c r="L703" s="549"/>
      <c r="M703" s="559"/>
      <c r="O703" s="654"/>
      <c r="S703" s="550"/>
      <c r="T703" s="547"/>
      <c r="U703" s="547"/>
      <c r="V703" s="547"/>
      <c r="W703" s="549"/>
    </row>
    <row r="704" spans="1:23">
      <c r="A704" s="565">
        <v>1398</v>
      </c>
      <c r="B704" s="696" t="s">
        <v>6111</v>
      </c>
      <c r="C704" s="566">
        <f t="shared" si="10"/>
        <v>1398</v>
      </c>
      <c r="D704" s="700" t="s">
        <v>2221</v>
      </c>
      <c r="E704" s="701" t="s">
        <v>8584</v>
      </c>
      <c r="F704" s="566">
        <v>2</v>
      </c>
      <c r="G704" s="662">
        <v>21998.841731483328</v>
      </c>
      <c r="H704" s="662">
        <v>22543.773843636376</v>
      </c>
      <c r="I704" s="662">
        <v>23117.378925061577</v>
      </c>
      <c r="J704" s="662">
        <v>23721.17221397251</v>
      </c>
      <c r="K704" s="566" t="s">
        <v>1133</v>
      </c>
      <c r="L704" s="549"/>
      <c r="M704" s="551"/>
      <c r="O704" s="654"/>
      <c r="S704" s="550"/>
      <c r="T704" s="547"/>
      <c r="U704" s="547"/>
      <c r="V704" s="547"/>
      <c r="W704" s="549"/>
    </row>
    <row r="705" spans="1:23">
      <c r="A705" s="565">
        <v>1399</v>
      </c>
      <c r="B705" s="696" t="s">
        <v>6112</v>
      </c>
      <c r="C705" s="566">
        <f t="shared" si="10"/>
        <v>1399</v>
      </c>
      <c r="D705" s="700" t="s">
        <v>2221</v>
      </c>
      <c r="E705" s="701" t="s">
        <v>8585</v>
      </c>
      <c r="F705" s="566">
        <v>2</v>
      </c>
      <c r="G705" s="662">
        <v>22451.62174999452</v>
      </c>
      <c r="H705" s="662">
        <v>23034.755348647359</v>
      </c>
      <c r="I705" s="662">
        <v>23648.601660321394</v>
      </c>
      <c r="J705" s="662">
        <v>24294.734201623021</v>
      </c>
      <c r="K705" s="566" t="s">
        <v>1134</v>
      </c>
      <c r="L705" s="549"/>
      <c r="M705" s="551"/>
      <c r="O705" s="654"/>
      <c r="S705" s="550"/>
      <c r="T705" s="547"/>
      <c r="U705" s="547"/>
      <c r="V705" s="547"/>
      <c r="W705" s="549"/>
    </row>
    <row r="706" spans="1:23">
      <c r="A706" s="565">
        <v>1400</v>
      </c>
      <c r="B706" s="696" t="s">
        <v>6113</v>
      </c>
      <c r="C706" s="566">
        <f t="shared" si="10"/>
        <v>1400</v>
      </c>
      <c r="D706" s="700" t="s">
        <v>2221</v>
      </c>
      <c r="E706" s="701" t="s">
        <v>8586</v>
      </c>
      <c r="F706" s="566">
        <v>2</v>
      </c>
      <c r="G706" s="662">
        <v>22627.169259636379</v>
      </c>
      <c r="H706" s="662">
        <v>23200.77434106158</v>
      </c>
      <c r="I706" s="662">
        <v>23804.567629972513</v>
      </c>
      <c r="J706" s="662">
        <v>24440.151782171979</v>
      </c>
      <c r="K706" s="566" t="s">
        <v>1135</v>
      </c>
      <c r="L706" s="549"/>
      <c r="M706" s="541"/>
      <c r="O706" s="654"/>
      <c r="S706" s="550"/>
      <c r="T706" s="547"/>
      <c r="U706" s="547"/>
      <c r="V706" s="547"/>
      <c r="W706" s="549"/>
    </row>
    <row r="707" spans="1:23">
      <c r="A707" s="565">
        <v>1401</v>
      </c>
      <c r="B707" s="696" t="s">
        <v>6114</v>
      </c>
      <c r="C707" s="566">
        <f t="shared" si="10"/>
        <v>1401</v>
      </c>
      <c r="D707" s="700" t="s">
        <v>2221</v>
      </c>
      <c r="E707" s="701" t="s">
        <v>8587</v>
      </c>
      <c r="F707" s="566">
        <v>2</v>
      </c>
      <c r="G707" s="662">
        <v>25883.789837082404</v>
      </c>
      <c r="H707" s="662">
        <v>26573.427198631314</v>
      </c>
      <c r="I707" s="662">
        <v>27299.371998913059</v>
      </c>
      <c r="J707" s="662">
        <v>28063.518285694601</v>
      </c>
      <c r="K707" s="566" t="s">
        <v>1136</v>
      </c>
      <c r="L707" s="549"/>
      <c r="M707" s="541"/>
      <c r="O707" s="654"/>
      <c r="S707" s="550"/>
      <c r="T707" s="547"/>
      <c r="U707" s="547"/>
      <c r="V707" s="547"/>
      <c r="W707" s="549"/>
    </row>
    <row r="708" spans="1:23">
      <c r="A708" s="565">
        <v>1402</v>
      </c>
      <c r="B708" s="696" t="s">
        <v>6115</v>
      </c>
      <c r="C708" s="566">
        <f t="shared" si="10"/>
        <v>1402</v>
      </c>
      <c r="D708" s="700" t="s">
        <v>2221</v>
      </c>
      <c r="E708" s="701" t="s">
        <v>8588</v>
      </c>
      <c r="F708" s="566">
        <v>2</v>
      </c>
      <c r="G708" s="662">
        <v>27330.806158268137</v>
      </c>
      <c r="H708" s="662">
        <v>28000.162639112354</v>
      </c>
      <c r="I708" s="662">
        <v>28704.748408422052</v>
      </c>
      <c r="J708" s="662">
        <v>29446.428374767784</v>
      </c>
      <c r="K708" s="566" t="s">
        <v>1137</v>
      </c>
      <c r="L708" s="549"/>
      <c r="M708" s="541"/>
      <c r="O708" s="654"/>
      <c r="S708" s="550"/>
      <c r="T708" s="547"/>
      <c r="U708" s="547"/>
      <c r="V708" s="547"/>
      <c r="W708" s="549"/>
    </row>
    <row r="709" spans="1:23">
      <c r="A709" s="565">
        <v>1403</v>
      </c>
      <c r="B709" s="695" t="s">
        <v>6116</v>
      </c>
      <c r="C709" s="566">
        <f t="shared" si="10"/>
        <v>1403</v>
      </c>
      <c r="D709" s="699" t="s">
        <v>2221</v>
      </c>
      <c r="E709" s="701" t="s">
        <v>8589</v>
      </c>
      <c r="F709" s="567">
        <v>2</v>
      </c>
      <c r="G709" s="662">
        <v>29726.451507037724</v>
      </c>
      <c r="H709" s="662">
        <v>30463.789733117654</v>
      </c>
      <c r="I709" s="662">
        <v>31239.941368822088</v>
      </c>
      <c r="J709" s="662">
        <v>32056.94615790006</v>
      </c>
      <c r="K709" s="568" t="s">
        <v>1138</v>
      </c>
      <c r="L709" s="549"/>
      <c r="M709" s="540"/>
      <c r="O709" s="654"/>
      <c r="S709" s="550"/>
      <c r="T709" s="547"/>
      <c r="U709" s="547"/>
      <c r="V709" s="547"/>
      <c r="W709" s="549"/>
    </row>
    <row r="710" spans="1:23">
      <c r="A710" s="565">
        <v>1404</v>
      </c>
      <c r="B710" s="695" t="s">
        <v>6117</v>
      </c>
      <c r="C710" s="566">
        <f t="shared" si="10"/>
        <v>1404</v>
      </c>
      <c r="D710" s="699" t="s">
        <v>2221</v>
      </c>
      <c r="E710" s="701" t="s">
        <v>8590</v>
      </c>
      <c r="F710" s="567">
        <v>1</v>
      </c>
      <c r="G710" s="662">
        <v>0</v>
      </c>
      <c r="H710" s="662">
        <v>0</v>
      </c>
      <c r="I710" s="662">
        <v>0</v>
      </c>
      <c r="J710" s="662">
        <v>25752.811084542387</v>
      </c>
      <c r="K710" s="568" t="s">
        <v>4729</v>
      </c>
      <c r="L710" s="549"/>
      <c r="M710" s="540"/>
      <c r="O710" s="654"/>
      <c r="S710" s="550"/>
      <c r="T710" s="547"/>
      <c r="U710" s="547"/>
      <c r="V710" s="547"/>
      <c r="W710" s="549"/>
    </row>
    <row r="711" spans="1:23">
      <c r="A711" s="565">
        <v>1405</v>
      </c>
      <c r="B711" s="695" t="s">
        <v>6118</v>
      </c>
      <c r="C711" s="566">
        <f t="shared" si="10"/>
        <v>1405</v>
      </c>
      <c r="D711" s="699" t="s">
        <v>2221</v>
      </c>
      <c r="E711" s="701" t="s">
        <v>8591</v>
      </c>
      <c r="F711" s="567">
        <v>1</v>
      </c>
      <c r="G711" s="662">
        <v>0</v>
      </c>
      <c r="H711" s="662">
        <v>19134.305107561988</v>
      </c>
      <c r="I711" s="662">
        <v>19782.902454721447</v>
      </c>
      <c r="J711" s="662">
        <v>20465.651073241075</v>
      </c>
      <c r="K711" s="568" t="s">
        <v>3070</v>
      </c>
      <c r="L711" s="549"/>
      <c r="M711" s="540"/>
      <c r="O711" s="654"/>
      <c r="S711" s="550"/>
      <c r="T711" s="547"/>
      <c r="U711" s="547"/>
      <c r="V711" s="547"/>
      <c r="W711" s="549"/>
    </row>
    <row r="712" spans="1:23">
      <c r="A712" s="565">
        <v>1406</v>
      </c>
      <c r="B712" s="696" t="s">
        <v>6119</v>
      </c>
      <c r="C712" s="566">
        <f t="shared" si="10"/>
        <v>1406</v>
      </c>
      <c r="D712" s="700" t="s">
        <v>2221</v>
      </c>
      <c r="E712" s="701" t="s">
        <v>8592</v>
      </c>
      <c r="F712" s="566">
        <v>1</v>
      </c>
      <c r="G712" s="662">
        <v>24755.318287115981</v>
      </c>
      <c r="H712" s="662">
        <v>25579.764006224708</v>
      </c>
      <c r="I712" s="662">
        <v>26447.591812858664</v>
      </c>
      <c r="J712" s="662">
        <v>27361.127408636417</v>
      </c>
      <c r="K712" s="566" t="s">
        <v>1139</v>
      </c>
      <c r="L712" s="549"/>
      <c r="M712" s="540"/>
      <c r="O712" s="654"/>
      <c r="S712" s="550"/>
      <c r="T712" s="547"/>
      <c r="U712" s="547"/>
      <c r="V712" s="547"/>
      <c r="W712" s="549"/>
    </row>
    <row r="713" spans="1:23">
      <c r="A713" s="565">
        <v>1407</v>
      </c>
      <c r="B713" s="696" t="s">
        <v>6120</v>
      </c>
      <c r="C713" s="566">
        <f t="shared" ref="C713:C776" si="11">A713</f>
        <v>1407</v>
      </c>
      <c r="D713" s="700" t="s">
        <v>2221</v>
      </c>
      <c r="E713" s="701" t="s">
        <v>8593</v>
      </c>
      <c r="F713" s="566">
        <v>1</v>
      </c>
      <c r="G713" s="662">
        <v>0</v>
      </c>
      <c r="H713" s="662">
        <v>0</v>
      </c>
      <c r="I713" s="662">
        <v>20850.741386601894</v>
      </c>
      <c r="J713" s="662">
        <v>21555.357891139378</v>
      </c>
      <c r="K713" s="566" t="s">
        <v>3980</v>
      </c>
      <c r="L713" s="549"/>
      <c r="M713" s="540"/>
      <c r="O713" s="654"/>
      <c r="S713" s="550"/>
      <c r="T713" s="547"/>
      <c r="U713" s="547"/>
      <c r="V713" s="547"/>
      <c r="W713" s="549"/>
    </row>
    <row r="714" spans="1:23">
      <c r="A714" s="565">
        <v>1408</v>
      </c>
      <c r="B714" s="696" t="s">
        <v>6121</v>
      </c>
      <c r="C714" s="566">
        <f t="shared" si="11"/>
        <v>1408</v>
      </c>
      <c r="D714" s="700" t="s">
        <v>2221</v>
      </c>
      <c r="E714" s="701" t="s">
        <v>8594</v>
      </c>
      <c r="F714" s="566">
        <v>1</v>
      </c>
      <c r="G714" s="662">
        <v>20089.656071228779</v>
      </c>
      <c r="H714" s="662">
        <v>20742.309964111821</v>
      </c>
      <c r="I714" s="662">
        <v>21429.29121288508</v>
      </c>
      <c r="J714" s="662">
        <v>22152.460378843432</v>
      </c>
      <c r="K714" s="566" t="s">
        <v>1140</v>
      </c>
      <c r="L714" s="549"/>
      <c r="M714" s="540"/>
      <c r="O714" s="654"/>
      <c r="S714" s="550"/>
      <c r="T714" s="547"/>
      <c r="U714" s="547"/>
      <c r="V714" s="547"/>
      <c r="W714" s="549"/>
    </row>
    <row r="715" spans="1:23">
      <c r="A715" s="565">
        <v>1409</v>
      </c>
      <c r="B715" s="696" t="s">
        <v>6122</v>
      </c>
      <c r="C715" s="566">
        <f t="shared" si="11"/>
        <v>1409</v>
      </c>
      <c r="D715" s="700" t="s">
        <v>2221</v>
      </c>
      <c r="E715" s="701" t="s">
        <v>8595</v>
      </c>
      <c r="F715" s="566">
        <v>1</v>
      </c>
      <c r="G715" s="662">
        <v>0</v>
      </c>
      <c r="H715" s="662">
        <v>0</v>
      </c>
      <c r="I715" s="662">
        <v>83613.434267054516</v>
      </c>
      <c r="J715" s="662">
        <v>86700.46232670726</v>
      </c>
      <c r="K715" s="566" t="s">
        <v>4730</v>
      </c>
      <c r="L715" s="549"/>
      <c r="M715" s="540"/>
      <c r="O715" s="654"/>
      <c r="S715" s="550"/>
      <c r="T715" s="547"/>
      <c r="U715" s="547"/>
      <c r="V715" s="547"/>
      <c r="W715" s="549"/>
    </row>
    <row r="716" spans="1:23">
      <c r="A716" s="565">
        <v>1410</v>
      </c>
      <c r="B716" s="696" t="s">
        <v>6123</v>
      </c>
      <c r="C716" s="566">
        <f t="shared" si="11"/>
        <v>1410</v>
      </c>
      <c r="D716" s="700" t="s">
        <v>2221</v>
      </c>
      <c r="E716" s="701" t="s">
        <v>8596</v>
      </c>
      <c r="F716" s="566">
        <v>1</v>
      </c>
      <c r="G716" s="662">
        <v>16354.834506978415</v>
      </c>
      <c r="H716" s="662">
        <v>16905.199372484862</v>
      </c>
      <c r="I716" s="662">
        <v>17484.525346530776</v>
      </c>
      <c r="J716" s="662">
        <v>18094.36947796238</v>
      </c>
      <c r="K716" s="566" t="s">
        <v>1141</v>
      </c>
      <c r="L716" s="549"/>
      <c r="M716" s="540"/>
      <c r="O716" s="654"/>
      <c r="S716" s="550"/>
      <c r="T716" s="547"/>
      <c r="U716" s="547"/>
      <c r="V716" s="547"/>
      <c r="W716" s="549"/>
    </row>
    <row r="717" spans="1:23">
      <c r="A717" s="565">
        <v>1411</v>
      </c>
      <c r="B717" s="696" t="s">
        <v>6124</v>
      </c>
      <c r="C717" s="566">
        <f t="shared" si="11"/>
        <v>1411</v>
      </c>
      <c r="D717" s="700" t="s">
        <v>4581</v>
      </c>
      <c r="E717" s="701" t="s">
        <v>8597</v>
      </c>
      <c r="F717" s="566">
        <v>2</v>
      </c>
      <c r="G717" s="662">
        <v>0</v>
      </c>
      <c r="H717" s="662">
        <v>0</v>
      </c>
      <c r="I717" s="662">
        <v>0</v>
      </c>
      <c r="J717" s="662">
        <v>15187.911645949851</v>
      </c>
      <c r="K717" s="566" t="s">
        <v>4731</v>
      </c>
      <c r="L717" s="549"/>
      <c r="M717" s="540"/>
      <c r="O717" s="654"/>
      <c r="S717" s="550"/>
      <c r="T717" s="547"/>
      <c r="U717" s="547"/>
      <c r="V717" s="547"/>
      <c r="W717" s="549"/>
    </row>
    <row r="718" spans="1:23">
      <c r="A718" s="565">
        <v>1412</v>
      </c>
      <c r="B718" s="696" t="s">
        <v>6125</v>
      </c>
      <c r="C718" s="566">
        <f t="shared" si="11"/>
        <v>1412</v>
      </c>
      <c r="D718" s="700" t="s">
        <v>4581</v>
      </c>
      <c r="E718" s="701" t="s">
        <v>8598</v>
      </c>
      <c r="F718" s="566">
        <v>2</v>
      </c>
      <c r="G718" s="662">
        <v>12216.855564442862</v>
      </c>
      <c r="H718" s="662">
        <v>0</v>
      </c>
      <c r="I718" s="662">
        <v>0</v>
      </c>
      <c r="J718" s="662">
        <v>0</v>
      </c>
      <c r="K718" s="566" t="s">
        <v>5251</v>
      </c>
      <c r="L718" s="549"/>
      <c r="M718" s="540"/>
      <c r="O718" s="654"/>
      <c r="S718" s="550"/>
      <c r="T718" s="547"/>
      <c r="U718" s="547"/>
      <c r="V718" s="547"/>
      <c r="W718" s="549"/>
    </row>
    <row r="719" spans="1:23">
      <c r="A719" s="565">
        <v>1413</v>
      </c>
      <c r="B719" s="696" t="s">
        <v>6126</v>
      </c>
      <c r="C719" s="566">
        <f t="shared" si="11"/>
        <v>1413</v>
      </c>
      <c r="D719" s="700" t="s">
        <v>5167</v>
      </c>
      <c r="E719" s="701" t="s">
        <v>8599</v>
      </c>
      <c r="F719" s="566">
        <v>2</v>
      </c>
      <c r="G719" s="662">
        <v>9585.4611151017707</v>
      </c>
      <c r="H719" s="662">
        <v>0</v>
      </c>
      <c r="I719" s="662">
        <v>0</v>
      </c>
      <c r="J719" s="662">
        <v>0</v>
      </c>
      <c r="K719" s="566" t="s">
        <v>5252</v>
      </c>
      <c r="L719" s="549"/>
      <c r="M719" s="540"/>
      <c r="O719" s="654"/>
      <c r="S719" s="550"/>
      <c r="T719" s="547"/>
      <c r="U719" s="547"/>
      <c r="V719" s="547"/>
      <c r="W719" s="549"/>
    </row>
    <row r="720" spans="1:23">
      <c r="A720" s="565">
        <v>1414</v>
      </c>
      <c r="B720" s="696" t="s">
        <v>6127</v>
      </c>
      <c r="C720" s="566">
        <f t="shared" si="11"/>
        <v>1414</v>
      </c>
      <c r="D720" s="700" t="s">
        <v>5167</v>
      </c>
      <c r="E720" s="701" t="s">
        <v>8600</v>
      </c>
      <c r="F720" s="566">
        <v>2</v>
      </c>
      <c r="G720" s="662">
        <v>19871.48865754106</v>
      </c>
      <c r="H720" s="662">
        <v>0</v>
      </c>
      <c r="I720" s="662">
        <v>0</v>
      </c>
      <c r="J720" s="662">
        <v>0</v>
      </c>
      <c r="K720" s="566" t="s">
        <v>5253</v>
      </c>
      <c r="L720" s="549"/>
      <c r="M720" s="540"/>
      <c r="O720" s="654"/>
      <c r="S720" s="550"/>
      <c r="T720" s="547"/>
      <c r="U720" s="547"/>
      <c r="V720" s="547"/>
      <c r="W720" s="549"/>
    </row>
    <row r="721" spans="1:23">
      <c r="A721" s="565">
        <v>1415</v>
      </c>
      <c r="B721" s="695" t="s">
        <v>6128</v>
      </c>
      <c r="C721" s="566">
        <f t="shared" si="11"/>
        <v>1415</v>
      </c>
      <c r="D721" s="699" t="s">
        <v>5167</v>
      </c>
      <c r="E721" s="701" t="s">
        <v>8601</v>
      </c>
      <c r="F721" s="567">
        <v>2</v>
      </c>
      <c r="G721" s="662">
        <v>11746.449014545544</v>
      </c>
      <c r="H721" s="662">
        <v>0</v>
      </c>
      <c r="I721" s="662">
        <v>0</v>
      </c>
      <c r="J721" s="662">
        <v>0</v>
      </c>
      <c r="K721" s="568" t="s">
        <v>5254</v>
      </c>
      <c r="L721" s="549"/>
      <c r="M721" s="540"/>
      <c r="O721" s="654"/>
      <c r="S721" s="550"/>
      <c r="T721" s="547"/>
      <c r="U721" s="547"/>
      <c r="V721" s="547"/>
      <c r="W721" s="549"/>
    </row>
    <row r="722" spans="1:23">
      <c r="A722" s="565">
        <v>1416</v>
      </c>
      <c r="B722" s="696" t="s">
        <v>6129</v>
      </c>
      <c r="C722" s="566">
        <f t="shared" si="11"/>
        <v>1416</v>
      </c>
      <c r="D722" s="700" t="s">
        <v>2222</v>
      </c>
      <c r="E722" s="701" t="s">
        <v>8602</v>
      </c>
      <c r="F722" s="566">
        <v>2</v>
      </c>
      <c r="G722" s="662">
        <v>19423.164585455899</v>
      </c>
      <c r="H722" s="662">
        <v>20132.252831964746</v>
      </c>
      <c r="I722" s="662">
        <v>20878.658951746031</v>
      </c>
      <c r="J722" s="662">
        <v>21664.329118112513</v>
      </c>
      <c r="K722" s="566" t="s">
        <v>4732</v>
      </c>
      <c r="L722" s="549"/>
      <c r="M722" s="540"/>
      <c r="O722" s="654"/>
      <c r="S722" s="550"/>
      <c r="T722" s="547"/>
      <c r="U722" s="547"/>
      <c r="V722" s="547"/>
      <c r="W722" s="549"/>
    </row>
    <row r="723" spans="1:23">
      <c r="A723" s="565">
        <v>1417</v>
      </c>
      <c r="B723" s="696" t="s">
        <v>6130</v>
      </c>
      <c r="C723" s="566">
        <f t="shared" si="11"/>
        <v>1417</v>
      </c>
      <c r="D723" s="700" t="s">
        <v>2222</v>
      </c>
      <c r="E723" s="701" t="s">
        <v>8603</v>
      </c>
      <c r="F723" s="566">
        <v>1</v>
      </c>
      <c r="G723" s="662">
        <v>11114.039314007037</v>
      </c>
      <c r="H723" s="662">
        <v>11439.250827292159</v>
      </c>
      <c r="I723" s="662">
        <v>11747.30743325149</v>
      </c>
      <c r="J723" s="662">
        <v>12071.624614875076</v>
      </c>
      <c r="K723" s="566" t="s">
        <v>1142</v>
      </c>
      <c r="L723" s="549"/>
      <c r="M723" s="540"/>
      <c r="O723" s="654"/>
      <c r="S723" s="550"/>
      <c r="T723" s="547"/>
      <c r="U723" s="547"/>
      <c r="V723" s="547"/>
      <c r="W723" s="549"/>
    </row>
    <row r="724" spans="1:23">
      <c r="A724" s="565">
        <v>1418</v>
      </c>
      <c r="B724" s="696" t="s">
        <v>6131</v>
      </c>
      <c r="C724" s="566">
        <f t="shared" si="11"/>
        <v>1418</v>
      </c>
      <c r="D724" s="700" t="s">
        <v>2222</v>
      </c>
      <c r="E724" s="701" t="s">
        <v>8604</v>
      </c>
      <c r="F724" s="566">
        <v>2</v>
      </c>
      <c r="G724" s="662">
        <v>9767.9131546823082</v>
      </c>
      <c r="H724" s="662">
        <v>10051.373297687702</v>
      </c>
      <c r="I724" s="662">
        <v>10349.770320868629</v>
      </c>
      <c r="J724" s="662">
        <v>10663.83403921738</v>
      </c>
      <c r="K724" s="566" t="s">
        <v>3981</v>
      </c>
      <c r="L724" s="549"/>
      <c r="M724" s="540"/>
      <c r="O724" s="654"/>
      <c r="S724" s="550"/>
      <c r="T724" s="547"/>
      <c r="U724" s="547"/>
      <c r="V724" s="547"/>
      <c r="W724" s="549"/>
    </row>
    <row r="725" spans="1:23">
      <c r="A725" s="565">
        <v>1419</v>
      </c>
      <c r="B725" s="696" t="s">
        <v>6132</v>
      </c>
      <c r="C725" s="566">
        <f t="shared" si="11"/>
        <v>1419</v>
      </c>
      <c r="D725" s="700" t="s">
        <v>2222</v>
      </c>
      <c r="E725" s="701" t="s">
        <v>8605</v>
      </c>
      <c r="F725" s="566">
        <v>2</v>
      </c>
      <c r="G725" s="662">
        <v>13011.40626455331</v>
      </c>
      <c r="H725" s="662">
        <v>13380.515419738638</v>
      </c>
      <c r="I725" s="662">
        <v>13769.048356918358</v>
      </c>
      <c r="J725" s="662">
        <v>14200.783452280277</v>
      </c>
      <c r="K725" s="566" t="s">
        <v>3074</v>
      </c>
      <c r="L725" s="549"/>
      <c r="M725" s="540"/>
      <c r="O725" s="654"/>
      <c r="S725" s="550"/>
      <c r="T725" s="547"/>
      <c r="U725" s="547"/>
      <c r="V725" s="547"/>
      <c r="W725" s="549"/>
    </row>
    <row r="726" spans="1:23">
      <c r="A726" s="565">
        <v>1420</v>
      </c>
      <c r="B726" s="696" t="s">
        <v>6133</v>
      </c>
      <c r="C726" s="566">
        <f t="shared" si="11"/>
        <v>1420</v>
      </c>
      <c r="D726" s="700" t="s">
        <v>4582</v>
      </c>
      <c r="E726" s="701" t="s">
        <v>8606</v>
      </c>
      <c r="F726" s="566">
        <v>1</v>
      </c>
      <c r="G726" s="662">
        <v>0</v>
      </c>
      <c r="H726" s="662">
        <v>198558.99442489198</v>
      </c>
      <c r="I726" s="662">
        <v>0</v>
      </c>
      <c r="J726" s="662">
        <v>0</v>
      </c>
      <c r="K726" s="566" t="s">
        <v>4733</v>
      </c>
      <c r="L726" s="549"/>
      <c r="M726" s="540"/>
      <c r="O726" s="654"/>
      <c r="S726" s="550"/>
      <c r="T726" s="547"/>
      <c r="U726" s="547"/>
      <c r="V726" s="547"/>
      <c r="W726" s="549"/>
    </row>
    <row r="727" spans="1:23">
      <c r="A727" s="565">
        <v>1421</v>
      </c>
      <c r="B727" s="696" t="s">
        <v>6134</v>
      </c>
      <c r="C727" s="566">
        <f t="shared" si="11"/>
        <v>1421</v>
      </c>
      <c r="D727" s="700" t="s">
        <v>2223</v>
      </c>
      <c r="E727" s="701" t="s">
        <v>8607</v>
      </c>
      <c r="F727" s="566">
        <v>1</v>
      </c>
      <c r="G727" s="662">
        <v>0</v>
      </c>
      <c r="H727" s="662">
        <v>18696.15212772461</v>
      </c>
      <c r="I727" s="662">
        <v>19715.45686655906</v>
      </c>
      <c r="J727" s="662">
        <v>20251.92986916233</v>
      </c>
      <c r="K727" s="566" t="s">
        <v>3982</v>
      </c>
      <c r="L727" s="549"/>
      <c r="M727" s="540"/>
      <c r="O727" s="654"/>
      <c r="S727" s="550"/>
      <c r="T727" s="547"/>
      <c r="U727" s="547"/>
      <c r="V727" s="547"/>
      <c r="W727" s="549"/>
    </row>
    <row r="728" spans="1:23">
      <c r="A728" s="565">
        <v>1422</v>
      </c>
      <c r="B728" s="696" t="s">
        <v>6135</v>
      </c>
      <c r="C728" s="566">
        <f t="shared" si="11"/>
        <v>1422</v>
      </c>
      <c r="D728" s="700" t="s">
        <v>2223</v>
      </c>
      <c r="E728" s="701" t="s">
        <v>8608</v>
      </c>
      <c r="F728" s="566">
        <v>1</v>
      </c>
      <c r="G728" s="662">
        <v>0</v>
      </c>
      <c r="H728" s="662">
        <v>47754.719790990821</v>
      </c>
      <c r="I728" s="662">
        <v>49152.349321898429</v>
      </c>
      <c r="J728" s="662">
        <v>50623.562119781047</v>
      </c>
      <c r="K728" s="566" t="s">
        <v>3983</v>
      </c>
      <c r="L728" s="549"/>
      <c r="M728" s="540"/>
      <c r="O728" s="654"/>
      <c r="S728" s="550"/>
      <c r="T728" s="547"/>
      <c r="U728" s="547"/>
      <c r="V728" s="547"/>
      <c r="W728" s="549"/>
    </row>
    <row r="729" spans="1:23">
      <c r="A729" s="565">
        <v>1423</v>
      </c>
      <c r="B729" s="696" t="s">
        <v>6136</v>
      </c>
      <c r="C729" s="566">
        <f t="shared" si="11"/>
        <v>1423</v>
      </c>
      <c r="D729" s="700" t="s">
        <v>2223</v>
      </c>
      <c r="E729" s="701" t="s">
        <v>8609</v>
      </c>
      <c r="F729" s="566">
        <v>1</v>
      </c>
      <c r="G729" s="662">
        <v>13886.605607337546</v>
      </c>
      <c r="H729" s="662">
        <v>0</v>
      </c>
      <c r="I729" s="662">
        <v>0</v>
      </c>
      <c r="J729" s="662">
        <v>0</v>
      </c>
      <c r="K729" s="566" t="s">
        <v>5255</v>
      </c>
      <c r="L729" s="549"/>
      <c r="M729" s="540"/>
      <c r="O729" s="654"/>
      <c r="S729" s="550"/>
      <c r="T729" s="547"/>
      <c r="U729" s="547"/>
      <c r="V729" s="547"/>
      <c r="W729" s="549"/>
    </row>
    <row r="730" spans="1:23">
      <c r="A730" s="565">
        <v>1424</v>
      </c>
      <c r="B730" s="696" t="s">
        <v>6137</v>
      </c>
      <c r="C730" s="566">
        <f t="shared" si="11"/>
        <v>1424</v>
      </c>
      <c r="D730" s="700" t="s">
        <v>2223</v>
      </c>
      <c r="E730" s="701" t="s">
        <v>8610</v>
      </c>
      <c r="F730" s="566">
        <v>1</v>
      </c>
      <c r="G730" s="662">
        <v>0</v>
      </c>
      <c r="H730" s="662">
        <v>16202.40616826069</v>
      </c>
      <c r="I730" s="662">
        <v>16630.963079855537</v>
      </c>
      <c r="J730" s="662">
        <v>17082.086733433694</v>
      </c>
      <c r="K730" s="566" t="s">
        <v>3075</v>
      </c>
      <c r="L730" s="549"/>
      <c r="M730" s="540"/>
      <c r="O730" s="654"/>
      <c r="S730" s="550"/>
      <c r="T730" s="547"/>
      <c r="U730" s="547"/>
      <c r="V730" s="547"/>
      <c r="W730" s="549"/>
    </row>
    <row r="731" spans="1:23">
      <c r="A731" s="565">
        <v>1425</v>
      </c>
      <c r="B731" s="696" t="s">
        <v>6138</v>
      </c>
      <c r="C731" s="566">
        <f t="shared" si="11"/>
        <v>1425</v>
      </c>
      <c r="D731" s="700" t="s">
        <v>2223</v>
      </c>
      <c r="E731" s="701" t="s">
        <v>8611</v>
      </c>
      <c r="F731" s="566">
        <v>1</v>
      </c>
      <c r="G731" s="662">
        <v>0</v>
      </c>
      <c r="H731" s="662">
        <v>0</v>
      </c>
      <c r="I731" s="662">
        <v>0</v>
      </c>
      <c r="J731" s="662">
        <v>18528.929809517886</v>
      </c>
      <c r="K731" s="566" t="s">
        <v>4734</v>
      </c>
      <c r="L731" s="549"/>
      <c r="M731" s="540"/>
      <c r="O731" s="654"/>
      <c r="S731" s="550"/>
      <c r="T731" s="547"/>
      <c r="U731" s="547"/>
      <c r="V731" s="547"/>
      <c r="W731" s="549"/>
    </row>
    <row r="732" spans="1:23">
      <c r="A732" s="565">
        <v>1426</v>
      </c>
      <c r="B732" s="695" t="s">
        <v>6139</v>
      </c>
      <c r="C732" s="566">
        <f t="shared" si="11"/>
        <v>1426</v>
      </c>
      <c r="D732" s="699" t="s">
        <v>2223</v>
      </c>
      <c r="E732" s="701" t="s">
        <v>8612</v>
      </c>
      <c r="F732" s="567">
        <v>1</v>
      </c>
      <c r="G732" s="662">
        <v>0</v>
      </c>
      <c r="H732" s="662">
        <v>16654.796938367315</v>
      </c>
      <c r="I732" s="662">
        <v>17107.18770847395</v>
      </c>
      <c r="J732" s="662">
        <v>0</v>
      </c>
      <c r="K732" s="568" t="s">
        <v>3076</v>
      </c>
      <c r="L732" s="549"/>
      <c r="M732" s="540"/>
      <c r="O732" s="654"/>
      <c r="S732" s="550"/>
      <c r="T732" s="547"/>
      <c r="U732" s="547"/>
      <c r="V732" s="547"/>
      <c r="W732" s="549"/>
    </row>
    <row r="733" spans="1:23">
      <c r="A733" s="565">
        <v>1427</v>
      </c>
      <c r="B733" s="696" t="s">
        <v>6140</v>
      </c>
      <c r="C733" s="566">
        <f t="shared" si="11"/>
        <v>1427</v>
      </c>
      <c r="D733" s="700" t="s">
        <v>2223</v>
      </c>
      <c r="E733" s="701" t="s">
        <v>8613</v>
      </c>
      <c r="F733" s="566">
        <v>1</v>
      </c>
      <c r="G733" s="662">
        <v>0</v>
      </c>
      <c r="H733" s="662">
        <v>14573.839619380644</v>
      </c>
      <c r="I733" s="662">
        <v>14952.375597541892</v>
      </c>
      <c r="J733" s="662">
        <v>15350.853576306043</v>
      </c>
      <c r="K733" s="566" t="s">
        <v>3077</v>
      </c>
      <c r="L733" s="549"/>
      <c r="M733" s="540"/>
      <c r="O733" s="654"/>
      <c r="S733" s="550"/>
      <c r="T733" s="547"/>
      <c r="U733" s="547"/>
      <c r="V733" s="547"/>
      <c r="W733" s="549"/>
    </row>
    <row r="734" spans="1:23">
      <c r="A734" s="565">
        <v>1428</v>
      </c>
      <c r="B734" s="696" t="s">
        <v>6141</v>
      </c>
      <c r="C734" s="566">
        <f t="shared" si="11"/>
        <v>1428</v>
      </c>
      <c r="D734" s="700" t="s">
        <v>2223</v>
      </c>
      <c r="E734" s="701" t="s">
        <v>8614</v>
      </c>
      <c r="F734" s="566">
        <v>1</v>
      </c>
      <c r="G734" s="662">
        <v>0</v>
      </c>
      <c r="H734" s="662">
        <v>12215.788337910333</v>
      </c>
      <c r="I734" s="662">
        <v>12549.764051486884</v>
      </c>
      <c r="J734" s="662">
        <v>12866.15098087056</v>
      </c>
      <c r="K734" s="566" t="s">
        <v>3984</v>
      </c>
      <c r="L734" s="549"/>
      <c r="M734" s="540"/>
      <c r="O734" s="654"/>
      <c r="S734" s="550"/>
      <c r="T734" s="547"/>
      <c r="U734" s="547"/>
      <c r="V734" s="547"/>
      <c r="W734" s="549"/>
    </row>
    <row r="735" spans="1:23">
      <c r="A735" s="565">
        <v>1429</v>
      </c>
      <c r="B735" s="696" t="s">
        <v>6142</v>
      </c>
      <c r="C735" s="566">
        <f t="shared" si="11"/>
        <v>1429</v>
      </c>
      <c r="D735" s="700" t="s">
        <v>2223</v>
      </c>
      <c r="E735" s="701" t="s">
        <v>8615</v>
      </c>
      <c r="F735" s="566">
        <v>1</v>
      </c>
      <c r="G735" s="662">
        <v>0</v>
      </c>
      <c r="H735" s="662">
        <v>11549.358885746287</v>
      </c>
      <c r="I735" s="662">
        <v>11835.003154593875</v>
      </c>
      <c r="J735" s="662">
        <v>12135.701974577385</v>
      </c>
      <c r="K735" s="566" t="s">
        <v>3078</v>
      </c>
      <c r="L735" s="549"/>
      <c r="M735" s="540"/>
      <c r="O735" s="654"/>
      <c r="S735" s="550"/>
      <c r="T735" s="547"/>
      <c r="U735" s="547"/>
      <c r="V735" s="547"/>
      <c r="W735" s="549"/>
    </row>
    <row r="736" spans="1:23">
      <c r="A736" s="565">
        <v>1430</v>
      </c>
      <c r="B736" s="696" t="s">
        <v>6143</v>
      </c>
      <c r="C736" s="566">
        <f t="shared" si="11"/>
        <v>1430</v>
      </c>
      <c r="D736" s="700" t="s">
        <v>2223</v>
      </c>
      <c r="E736" s="701" t="s">
        <v>8616</v>
      </c>
      <c r="F736" s="566">
        <v>1</v>
      </c>
      <c r="G736" s="662">
        <v>14201.595836779494</v>
      </c>
      <c r="H736" s="662">
        <v>0</v>
      </c>
      <c r="I736" s="662">
        <v>0</v>
      </c>
      <c r="J736" s="662">
        <v>0</v>
      </c>
      <c r="K736" s="566" t="s">
        <v>5256</v>
      </c>
      <c r="L736" s="549"/>
      <c r="M736" s="540"/>
      <c r="O736" s="654"/>
      <c r="S736" s="550"/>
      <c r="T736" s="547"/>
      <c r="U736" s="547"/>
      <c r="V736" s="547"/>
      <c r="W736" s="549"/>
    </row>
    <row r="737" spans="1:23">
      <c r="A737" s="565">
        <v>1431</v>
      </c>
      <c r="B737" s="696" t="s">
        <v>6144</v>
      </c>
      <c r="C737" s="566">
        <f t="shared" si="11"/>
        <v>1431</v>
      </c>
      <c r="D737" s="700" t="s">
        <v>2223</v>
      </c>
      <c r="E737" s="701" t="s">
        <v>8617</v>
      </c>
      <c r="F737" s="566">
        <v>1</v>
      </c>
      <c r="G737" s="662">
        <v>0</v>
      </c>
      <c r="H737" s="662">
        <v>13875.882527003487</v>
      </c>
      <c r="I737" s="662">
        <v>14232.998201945276</v>
      </c>
      <c r="J737" s="662">
        <v>14608.90943872611</v>
      </c>
      <c r="K737" s="566" t="s">
        <v>3079</v>
      </c>
      <c r="L737" s="549"/>
      <c r="M737" s="540"/>
      <c r="O737" s="654"/>
      <c r="S737" s="550"/>
      <c r="T737" s="547"/>
      <c r="U737" s="547"/>
      <c r="V737" s="547"/>
      <c r="W737" s="549"/>
    </row>
    <row r="738" spans="1:23">
      <c r="A738" s="565">
        <v>1432</v>
      </c>
      <c r="B738" s="696" t="s">
        <v>6145</v>
      </c>
      <c r="C738" s="566">
        <f t="shared" si="11"/>
        <v>1432</v>
      </c>
      <c r="D738" s="700" t="s">
        <v>2223</v>
      </c>
      <c r="E738" s="701" t="s">
        <v>8618</v>
      </c>
      <c r="F738" s="566">
        <v>1</v>
      </c>
      <c r="G738" s="662">
        <v>0</v>
      </c>
      <c r="H738" s="662">
        <v>12945.273070500605</v>
      </c>
      <c r="I738" s="662">
        <v>13273.818284669409</v>
      </c>
      <c r="J738" s="662">
        <v>13619.650588619545</v>
      </c>
      <c r="K738" s="566" t="s">
        <v>3080</v>
      </c>
      <c r="L738" s="549"/>
      <c r="M738" s="540"/>
      <c r="O738" s="654"/>
      <c r="S738" s="550"/>
      <c r="T738" s="547"/>
      <c r="U738" s="547"/>
      <c r="V738" s="547"/>
      <c r="W738" s="549"/>
    </row>
    <row r="739" spans="1:23">
      <c r="A739" s="565">
        <v>1433</v>
      </c>
      <c r="B739" s="696" t="s">
        <v>6146</v>
      </c>
      <c r="C739" s="566">
        <f t="shared" si="11"/>
        <v>1433</v>
      </c>
      <c r="D739" s="700" t="s">
        <v>2223</v>
      </c>
      <c r="E739" s="701" t="s">
        <v>8619</v>
      </c>
      <c r="F739" s="566">
        <v>1</v>
      </c>
      <c r="G739" s="662">
        <v>14629.816861445943</v>
      </c>
      <c r="H739" s="662">
        <v>0</v>
      </c>
      <c r="I739" s="662">
        <v>0</v>
      </c>
      <c r="J739" s="662">
        <v>0</v>
      </c>
      <c r="K739" s="566" t="s">
        <v>5257</v>
      </c>
      <c r="L739" s="549"/>
      <c r="M739" s="540"/>
      <c r="O739" s="654"/>
      <c r="S739" s="550"/>
      <c r="T739" s="547"/>
      <c r="U739" s="547"/>
      <c r="V739" s="547"/>
      <c r="W739" s="549"/>
    </row>
    <row r="740" spans="1:23">
      <c r="A740" s="565">
        <v>1434</v>
      </c>
      <c r="B740" s="696" t="s">
        <v>6147</v>
      </c>
      <c r="C740" s="566">
        <f t="shared" si="11"/>
        <v>1434</v>
      </c>
      <c r="D740" s="700" t="s">
        <v>2223</v>
      </c>
      <c r="E740" s="701" t="s">
        <v>8620</v>
      </c>
      <c r="F740" s="566">
        <v>1</v>
      </c>
      <c r="G740" s="662">
        <v>0</v>
      </c>
      <c r="H740" s="662">
        <v>0</v>
      </c>
      <c r="I740" s="662">
        <v>15727.495203204911</v>
      </c>
      <c r="J740" s="662">
        <v>16132.610459022975</v>
      </c>
      <c r="K740" s="566" t="s">
        <v>4735</v>
      </c>
      <c r="L740" s="549"/>
      <c r="M740" s="540"/>
      <c r="O740" s="654"/>
      <c r="S740" s="550"/>
      <c r="T740" s="547"/>
      <c r="U740" s="547"/>
      <c r="V740" s="547"/>
      <c r="W740" s="549"/>
    </row>
    <row r="741" spans="1:23">
      <c r="A741" s="565">
        <v>1435</v>
      </c>
      <c r="B741" s="696" t="s">
        <v>6148</v>
      </c>
      <c r="C741" s="566">
        <f t="shared" si="11"/>
        <v>1435</v>
      </c>
      <c r="D741" s="700" t="s">
        <v>2223</v>
      </c>
      <c r="E741" s="701" t="s">
        <v>8621</v>
      </c>
      <c r="F741" s="566">
        <v>1</v>
      </c>
      <c r="G741" s="662">
        <v>16116.239369662748</v>
      </c>
      <c r="H741" s="662">
        <v>0</v>
      </c>
      <c r="I741" s="662">
        <v>0</v>
      </c>
      <c r="J741" s="662">
        <v>0</v>
      </c>
      <c r="K741" s="566" t="s">
        <v>5258</v>
      </c>
      <c r="L741" s="549"/>
      <c r="M741" s="540"/>
      <c r="O741" s="654"/>
      <c r="S741" s="550"/>
      <c r="T741" s="547"/>
      <c r="U741" s="547"/>
      <c r="V741" s="547"/>
      <c r="W741" s="549"/>
    </row>
    <row r="742" spans="1:23">
      <c r="A742" s="565">
        <v>1436</v>
      </c>
      <c r="B742" s="696" t="s">
        <v>6149</v>
      </c>
      <c r="C742" s="566">
        <f t="shared" si="11"/>
        <v>1436</v>
      </c>
      <c r="D742" s="700" t="s">
        <v>2223</v>
      </c>
      <c r="E742" s="701" t="s">
        <v>8622</v>
      </c>
      <c r="F742" s="566">
        <v>1</v>
      </c>
      <c r="G742" s="662">
        <v>9862.6711462116255</v>
      </c>
      <c r="H742" s="662">
        <v>0</v>
      </c>
      <c r="I742" s="662">
        <v>0</v>
      </c>
      <c r="J742" s="662">
        <v>0</v>
      </c>
      <c r="K742" s="566" t="s">
        <v>5259</v>
      </c>
      <c r="L742" s="549"/>
      <c r="M742" s="540"/>
      <c r="O742" s="654"/>
      <c r="S742" s="550"/>
      <c r="T742" s="547"/>
      <c r="U742" s="547"/>
      <c r="V742" s="547"/>
      <c r="W742" s="549"/>
    </row>
    <row r="743" spans="1:23">
      <c r="A743" s="565">
        <v>1437</v>
      </c>
      <c r="B743" s="696" t="s">
        <v>6150</v>
      </c>
      <c r="C743" s="566">
        <f t="shared" si="11"/>
        <v>1437</v>
      </c>
      <c r="D743" s="700" t="s">
        <v>2223</v>
      </c>
      <c r="E743" s="701" t="s">
        <v>8623</v>
      </c>
      <c r="F743" s="566">
        <v>2</v>
      </c>
      <c r="G743" s="662">
        <v>25747.246423851273</v>
      </c>
      <c r="H743" s="662">
        <v>26773.609574674952</v>
      </c>
      <c r="I743" s="662">
        <v>27799.972725498639</v>
      </c>
      <c r="J743" s="662">
        <v>28880.342185751782</v>
      </c>
      <c r="K743" s="566" t="s">
        <v>1143</v>
      </c>
      <c r="L743" s="549"/>
      <c r="M743" s="540"/>
      <c r="O743" s="654"/>
      <c r="S743" s="550"/>
      <c r="T743" s="547"/>
      <c r="U743" s="547"/>
      <c r="V743" s="547"/>
      <c r="W743" s="549"/>
    </row>
    <row r="744" spans="1:23">
      <c r="A744" s="565">
        <v>1438</v>
      </c>
      <c r="B744" s="696" t="s">
        <v>6151</v>
      </c>
      <c r="C744" s="566">
        <f t="shared" si="11"/>
        <v>1438</v>
      </c>
      <c r="D744" s="700" t="s">
        <v>2223</v>
      </c>
      <c r="E744" s="701" t="s">
        <v>8624</v>
      </c>
      <c r="F744" s="566">
        <v>2</v>
      </c>
      <c r="G744" s="662">
        <v>0</v>
      </c>
      <c r="H744" s="662">
        <v>0</v>
      </c>
      <c r="I744" s="662">
        <v>0</v>
      </c>
      <c r="J744" s="662">
        <v>23585.339573233403</v>
      </c>
      <c r="K744" s="566" t="s">
        <v>4736</v>
      </c>
      <c r="L744" s="549"/>
      <c r="M744" s="540"/>
      <c r="O744" s="654"/>
      <c r="S744" s="550"/>
      <c r="T744" s="547"/>
      <c r="U744" s="547"/>
      <c r="V744" s="547"/>
      <c r="W744" s="549"/>
    </row>
    <row r="745" spans="1:23">
      <c r="A745" s="565">
        <v>1439</v>
      </c>
      <c r="B745" s="696" t="s">
        <v>6152</v>
      </c>
      <c r="C745" s="566">
        <f t="shared" si="11"/>
        <v>1439</v>
      </c>
      <c r="D745" s="700" t="s">
        <v>2223</v>
      </c>
      <c r="E745" s="701" t="s">
        <v>8625</v>
      </c>
      <c r="F745" s="566">
        <v>2</v>
      </c>
      <c r="G745" s="662">
        <v>0</v>
      </c>
      <c r="H745" s="662">
        <v>0</v>
      </c>
      <c r="I745" s="662">
        <v>0</v>
      </c>
      <c r="J745" s="662">
        <v>29504.846426115662</v>
      </c>
      <c r="K745" s="566" t="s">
        <v>4737</v>
      </c>
      <c r="L745" s="549"/>
      <c r="M745" s="540"/>
      <c r="O745" s="654"/>
      <c r="S745" s="550"/>
      <c r="T745" s="547"/>
      <c r="U745" s="547"/>
      <c r="V745" s="547"/>
      <c r="W745" s="549"/>
    </row>
    <row r="746" spans="1:23">
      <c r="A746" s="565">
        <v>1440</v>
      </c>
      <c r="B746" s="695" t="s">
        <v>6153</v>
      </c>
      <c r="C746" s="566">
        <f t="shared" si="11"/>
        <v>1440</v>
      </c>
      <c r="D746" s="699" t="s">
        <v>2223</v>
      </c>
      <c r="E746" s="701" t="s">
        <v>8626</v>
      </c>
      <c r="F746" s="567">
        <v>2</v>
      </c>
      <c r="G746" s="662">
        <v>0</v>
      </c>
      <c r="H746" s="662">
        <v>0</v>
      </c>
      <c r="I746" s="662">
        <v>0</v>
      </c>
      <c r="J746" s="662">
        <v>23070.599846895821</v>
      </c>
      <c r="K746" s="568" t="s">
        <v>4738</v>
      </c>
      <c r="L746" s="549"/>
      <c r="M746" s="540"/>
      <c r="O746" s="654"/>
      <c r="S746" s="550"/>
      <c r="T746" s="547"/>
      <c r="U746" s="547"/>
      <c r="V746" s="547"/>
      <c r="W746" s="549"/>
    </row>
    <row r="747" spans="1:23">
      <c r="A747" s="565">
        <v>1441</v>
      </c>
      <c r="B747" s="696" t="s">
        <v>6154</v>
      </c>
      <c r="C747" s="566">
        <f t="shared" si="11"/>
        <v>1441</v>
      </c>
      <c r="D747" s="700" t="s">
        <v>2223</v>
      </c>
      <c r="E747" s="701" t="s">
        <v>8627</v>
      </c>
      <c r="F747" s="566">
        <v>2</v>
      </c>
      <c r="G747" s="662">
        <v>26261.986150188859</v>
      </c>
      <c r="H747" s="662">
        <v>27312.67646742221</v>
      </c>
      <c r="I747" s="662">
        <v>28363.366784655558</v>
      </c>
      <c r="J747" s="662">
        <v>29469.377078304478</v>
      </c>
      <c r="K747" s="566" t="s">
        <v>1144</v>
      </c>
      <c r="L747" s="549"/>
      <c r="M747" s="540"/>
      <c r="O747" s="654"/>
      <c r="S747" s="550"/>
      <c r="T747" s="547"/>
      <c r="U747" s="547"/>
      <c r="V747" s="547"/>
      <c r="W747" s="549"/>
    </row>
    <row r="748" spans="1:23">
      <c r="A748" s="565">
        <v>1442</v>
      </c>
      <c r="B748" s="696" t="s">
        <v>6155</v>
      </c>
      <c r="C748" s="566">
        <f t="shared" si="11"/>
        <v>1442</v>
      </c>
      <c r="D748" s="700" t="s">
        <v>2223</v>
      </c>
      <c r="E748" s="701" t="s">
        <v>8628</v>
      </c>
      <c r="F748" s="566">
        <v>2</v>
      </c>
      <c r="G748" s="662">
        <v>27419.631014713414</v>
      </c>
      <c r="H748" s="662">
        <v>28490.026336738589</v>
      </c>
      <c r="I748" s="662">
        <v>29616.763376168539</v>
      </c>
      <c r="J748" s="662">
        <v>30802.810047305255</v>
      </c>
      <c r="K748" s="566" t="s">
        <v>1145</v>
      </c>
      <c r="L748" s="549"/>
      <c r="M748" s="540"/>
      <c r="O748" s="654"/>
      <c r="S748" s="550"/>
      <c r="T748" s="547"/>
      <c r="U748" s="547"/>
      <c r="V748" s="547"/>
      <c r="W748" s="549"/>
    </row>
    <row r="749" spans="1:23">
      <c r="A749" s="565">
        <v>1443</v>
      </c>
      <c r="B749" s="695" t="s">
        <v>6156</v>
      </c>
      <c r="C749" s="566">
        <f t="shared" si="11"/>
        <v>1443</v>
      </c>
      <c r="D749" s="699" t="s">
        <v>2223</v>
      </c>
      <c r="E749" s="701" t="s">
        <v>8629</v>
      </c>
      <c r="F749" s="567">
        <v>2</v>
      </c>
      <c r="G749" s="662">
        <v>28585.84906664184</v>
      </c>
      <c r="H749" s="662">
        <v>29709.618191769812</v>
      </c>
      <c r="I749" s="662">
        <v>30892.550985606085</v>
      </c>
      <c r="J749" s="662">
        <v>32137.712671118283</v>
      </c>
      <c r="K749" s="568" t="s">
        <v>1146</v>
      </c>
      <c r="L749" s="549"/>
      <c r="M749" s="540"/>
      <c r="O749" s="654"/>
      <c r="S749" s="550"/>
      <c r="T749" s="547"/>
      <c r="U749" s="547"/>
      <c r="V749" s="547"/>
      <c r="W749" s="549"/>
    </row>
    <row r="750" spans="1:23">
      <c r="A750" s="565">
        <v>1444</v>
      </c>
      <c r="B750" s="696" t="s">
        <v>6157</v>
      </c>
      <c r="C750" s="566">
        <f t="shared" si="11"/>
        <v>1444</v>
      </c>
      <c r="D750" s="700" t="s">
        <v>2223</v>
      </c>
      <c r="E750" s="701" t="s">
        <v>8630</v>
      </c>
      <c r="F750" s="566">
        <v>2</v>
      </c>
      <c r="G750" s="662">
        <v>28780.234960074184</v>
      </c>
      <c r="H750" s="662">
        <v>29912.907828108091</v>
      </c>
      <c r="I750" s="662">
        <v>31105.18225384568</v>
      </c>
      <c r="J750" s="662">
        <v>32360.22076892019</v>
      </c>
      <c r="K750" s="566" t="s">
        <v>1147</v>
      </c>
      <c r="L750" s="549"/>
      <c r="M750" s="540"/>
      <c r="O750" s="654"/>
      <c r="S750" s="550"/>
      <c r="T750" s="547"/>
      <c r="U750" s="547"/>
      <c r="V750" s="547"/>
      <c r="W750" s="549"/>
    </row>
    <row r="751" spans="1:23">
      <c r="A751" s="565">
        <v>1445</v>
      </c>
      <c r="B751" s="695" t="s">
        <v>6158</v>
      </c>
      <c r="C751" s="566">
        <f t="shared" si="11"/>
        <v>1445</v>
      </c>
      <c r="D751" s="699" t="s">
        <v>2223</v>
      </c>
      <c r="E751" s="701" t="s">
        <v>8631</v>
      </c>
      <c r="F751" s="567">
        <v>2</v>
      </c>
      <c r="G751" s="662">
        <v>29428.139283849177</v>
      </c>
      <c r="H751" s="662">
        <v>30590.442640570054</v>
      </c>
      <c r="I751" s="662">
        <v>31813.953147977656</v>
      </c>
      <c r="J751" s="662">
        <v>33101.833337705219</v>
      </c>
      <c r="K751" s="568" t="s">
        <v>1148</v>
      </c>
      <c r="L751" s="549"/>
      <c r="M751" s="540"/>
      <c r="O751" s="654"/>
      <c r="S751" s="550"/>
      <c r="T751" s="547"/>
      <c r="U751" s="547"/>
      <c r="V751" s="547"/>
      <c r="W751" s="549"/>
    </row>
    <row r="752" spans="1:23">
      <c r="A752" s="565">
        <v>1446</v>
      </c>
      <c r="B752" s="696" t="s">
        <v>6159</v>
      </c>
      <c r="C752" s="566">
        <f t="shared" si="11"/>
        <v>1446</v>
      </c>
      <c r="D752" s="700" t="s">
        <v>2223</v>
      </c>
      <c r="E752" s="701" t="s">
        <v>8632</v>
      </c>
      <c r="F752" s="566">
        <v>2</v>
      </c>
      <c r="G752" s="662">
        <v>29622.476522948702</v>
      </c>
      <c r="H752" s="662">
        <v>30793.683622575521</v>
      </c>
      <c r="I752" s="662">
        <v>32026.535761884417</v>
      </c>
      <c r="J752" s="662">
        <v>33324.292781174307</v>
      </c>
      <c r="K752" s="566" t="s">
        <v>1149</v>
      </c>
      <c r="L752" s="549"/>
      <c r="M752" s="540"/>
      <c r="O752" s="654"/>
      <c r="S752" s="550"/>
      <c r="T752" s="547"/>
      <c r="U752" s="547"/>
      <c r="V752" s="547"/>
      <c r="W752" s="549"/>
    </row>
    <row r="753" spans="1:23">
      <c r="A753" s="565">
        <v>1447</v>
      </c>
      <c r="B753" s="696" t="s">
        <v>6160</v>
      </c>
      <c r="C753" s="566">
        <f t="shared" si="11"/>
        <v>1447</v>
      </c>
      <c r="D753" s="700" t="s">
        <v>2223</v>
      </c>
      <c r="E753" s="701" t="s">
        <v>8633</v>
      </c>
      <c r="F753" s="566">
        <v>1</v>
      </c>
      <c r="G753" s="662">
        <v>0</v>
      </c>
      <c r="H753" s="662">
        <v>0</v>
      </c>
      <c r="I753" s="662">
        <v>15676.474403437529</v>
      </c>
      <c r="J753" s="662">
        <v>16078.836429163246</v>
      </c>
      <c r="K753" s="566" t="s">
        <v>3985</v>
      </c>
      <c r="L753" s="549"/>
      <c r="M753" s="540"/>
      <c r="O753" s="654"/>
      <c r="S753" s="550"/>
      <c r="T753" s="547"/>
      <c r="U753" s="547"/>
      <c r="V753" s="547"/>
      <c r="W753" s="549"/>
    </row>
    <row r="754" spans="1:23">
      <c r="A754" s="565">
        <v>1448</v>
      </c>
      <c r="B754" s="696" t="s">
        <v>6161</v>
      </c>
      <c r="C754" s="566">
        <f t="shared" si="11"/>
        <v>1448</v>
      </c>
      <c r="D754" s="700" t="s">
        <v>2223</v>
      </c>
      <c r="E754" s="701" t="s">
        <v>8634</v>
      </c>
      <c r="F754" s="566">
        <v>1</v>
      </c>
      <c r="G754" s="662">
        <v>14303.326480692354</v>
      </c>
      <c r="H754" s="662">
        <v>0</v>
      </c>
      <c r="I754" s="662">
        <v>0</v>
      </c>
      <c r="J754" s="662">
        <v>0</v>
      </c>
      <c r="K754" s="566" t="s">
        <v>5260</v>
      </c>
      <c r="L754" s="549"/>
      <c r="M754" s="540"/>
      <c r="O754" s="654"/>
      <c r="S754" s="550"/>
      <c r="T754" s="547"/>
      <c r="U754" s="547"/>
      <c r="V754" s="547"/>
      <c r="W754" s="549"/>
    </row>
    <row r="755" spans="1:23">
      <c r="A755" s="565">
        <v>1449</v>
      </c>
      <c r="B755" s="696" t="s">
        <v>6162</v>
      </c>
      <c r="C755" s="566">
        <f t="shared" si="11"/>
        <v>1449</v>
      </c>
      <c r="D755" s="700" t="s">
        <v>2223</v>
      </c>
      <c r="E755" s="701" t="s">
        <v>8635</v>
      </c>
      <c r="F755" s="566">
        <v>1</v>
      </c>
      <c r="G755" s="662">
        <v>0</v>
      </c>
      <c r="H755" s="662">
        <v>0</v>
      </c>
      <c r="I755" s="662">
        <v>0</v>
      </c>
      <c r="J755" s="662">
        <v>14868.823174901465</v>
      </c>
      <c r="K755" s="566" t="s">
        <v>4739</v>
      </c>
      <c r="L755" s="549"/>
      <c r="M755" s="540"/>
      <c r="O755" s="654"/>
      <c r="S755" s="550"/>
      <c r="T755" s="547"/>
      <c r="U755" s="547"/>
      <c r="V755" s="547"/>
      <c r="W755" s="549"/>
    </row>
    <row r="756" spans="1:23">
      <c r="A756" s="565">
        <v>1450</v>
      </c>
      <c r="B756" s="696" t="s">
        <v>6163</v>
      </c>
      <c r="C756" s="566">
        <f t="shared" si="11"/>
        <v>1450</v>
      </c>
      <c r="D756" s="700" t="s">
        <v>2223</v>
      </c>
      <c r="E756" s="701" t="s">
        <v>8636</v>
      </c>
      <c r="F756" s="566">
        <v>1</v>
      </c>
      <c r="G756" s="662">
        <v>12259.642412304716</v>
      </c>
      <c r="H756" s="662">
        <v>0</v>
      </c>
      <c r="I756" s="662">
        <v>0</v>
      </c>
      <c r="J756" s="662">
        <v>0</v>
      </c>
      <c r="K756" s="566" t="s">
        <v>5261</v>
      </c>
      <c r="L756" s="549"/>
      <c r="M756" s="540"/>
      <c r="O756" s="654"/>
      <c r="S756" s="550"/>
      <c r="T756" s="547"/>
      <c r="U756" s="547"/>
      <c r="V756" s="547"/>
      <c r="W756" s="549"/>
    </row>
    <row r="757" spans="1:23">
      <c r="A757" s="565">
        <v>1451</v>
      </c>
      <c r="B757" s="696" t="s">
        <v>6164</v>
      </c>
      <c r="C757" s="566">
        <f t="shared" si="11"/>
        <v>1451</v>
      </c>
      <c r="D757" s="700" t="s">
        <v>2223</v>
      </c>
      <c r="E757" s="701" t="s">
        <v>8637</v>
      </c>
      <c r="F757" s="566">
        <v>1</v>
      </c>
      <c r="G757" s="662">
        <v>13299.014097172321</v>
      </c>
      <c r="H757" s="662">
        <v>13642.427024238121</v>
      </c>
      <c r="I757" s="662">
        <v>14003.893844685295</v>
      </c>
      <c r="J757" s="662">
        <v>14384.419353298083</v>
      </c>
      <c r="K757" s="566" t="s">
        <v>1150</v>
      </c>
      <c r="L757" s="549"/>
      <c r="M757" s="540"/>
      <c r="O757" s="654"/>
      <c r="S757" s="550"/>
      <c r="T757" s="547"/>
      <c r="U757" s="547"/>
      <c r="V757" s="547"/>
      <c r="W757" s="549"/>
    </row>
    <row r="758" spans="1:23">
      <c r="A758" s="565">
        <v>1452</v>
      </c>
      <c r="B758" s="696" t="s">
        <v>6165</v>
      </c>
      <c r="C758" s="566">
        <f t="shared" si="11"/>
        <v>1452</v>
      </c>
      <c r="D758" s="700" t="s">
        <v>2223</v>
      </c>
      <c r="E758" s="701" t="s">
        <v>8638</v>
      </c>
      <c r="F758" s="566">
        <v>1</v>
      </c>
      <c r="G758" s="662">
        <v>0</v>
      </c>
      <c r="H758" s="662">
        <v>0</v>
      </c>
      <c r="I758" s="662">
        <v>11284.049313285679</v>
      </c>
      <c r="J758" s="662">
        <v>11558.423114853593</v>
      </c>
      <c r="K758" s="566" t="s">
        <v>3986</v>
      </c>
      <c r="L758" s="549"/>
      <c r="M758" s="540"/>
      <c r="O758" s="654"/>
      <c r="S758" s="550"/>
      <c r="T758" s="547"/>
      <c r="U758" s="547"/>
      <c r="V758" s="547"/>
      <c r="W758" s="549"/>
    </row>
    <row r="759" spans="1:23">
      <c r="A759" s="565">
        <v>1453</v>
      </c>
      <c r="B759" s="696" t="s">
        <v>6166</v>
      </c>
      <c r="C759" s="566">
        <f t="shared" si="11"/>
        <v>1453</v>
      </c>
      <c r="D759" s="700" t="s">
        <v>2223</v>
      </c>
      <c r="E759" s="701" t="s">
        <v>8639</v>
      </c>
      <c r="F759" s="566">
        <v>1</v>
      </c>
      <c r="G759" s="662">
        <v>0</v>
      </c>
      <c r="H759" s="662">
        <v>0</v>
      </c>
      <c r="I759" s="662">
        <v>8527.7259029767229</v>
      </c>
      <c r="J759" s="662">
        <v>8719.2203412121889</v>
      </c>
      <c r="K759" s="566" t="s">
        <v>3987</v>
      </c>
      <c r="L759" s="549"/>
      <c r="M759" s="540"/>
      <c r="O759" s="654"/>
      <c r="S759" s="550"/>
      <c r="T759" s="547"/>
      <c r="U759" s="547"/>
      <c r="V759" s="547"/>
      <c r="W759" s="549"/>
    </row>
    <row r="760" spans="1:23">
      <c r="A760" s="565">
        <v>1454</v>
      </c>
      <c r="B760" s="696" t="s">
        <v>6167</v>
      </c>
      <c r="C760" s="566">
        <f t="shared" si="11"/>
        <v>1454</v>
      </c>
      <c r="D760" s="700" t="s">
        <v>2223</v>
      </c>
      <c r="E760" s="701" t="s">
        <v>8640</v>
      </c>
      <c r="F760" s="566">
        <v>1</v>
      </c>
      <c r="G760" s="662">
        <v>11116.333558950342</v>
      </c>
      <c r="H760" s="662">
        <v>11391.679742567519</v>
      </c>
      <c r="I760" s="662">
        <v>0</v>
      </c>
      <c r="J760" s="662">
        <v>0</v>
      </c>
      <c r="K760" s="566" t="s">
        <v>1151</v>
      </c>
      <c r="L760" s="549"/>
      <c r="M760" s="540"/>
      <c r="O760" s="654"/>
      <c r="S760" s="550"/>
      <c r="T760" s="547"/>
      <c r="U760" s="547"/>
      <c r="V760" s="547"/>
      <c r="W760" s="549"/>
    </row>
    <row r="761" spans="1:23">
      <c r="A761" s="565">
        <v>1455</v>
      </c>
      <c r="B761" s="696" t="s">
        <v>6168</v>
      </c>
      <c r="C761" s="566">
        <f t="shared" si="11"/>
        <v>1455</v>
      </c>
      <c r="D761" s="700" t="s">
        <v>2223</v>
      </c>
      <c r="E761" s="701" t="s">
        <v>8641</v>
      </c>
      <c r="F761" s="566">
        <v>1</v>
      </c>
      <c r="G761" s="662">
        <v>10715.935008533397</v>
      </c>
      <c r="H761" s="662">
        <v>10987.240305859055</v>
      </c>
      <c r="I761" s="662">
        <v>0</v>
      </c>
      <c r="J761" s="662">
        <v>0</v>
      </c>
      <c r="K761" s="566" t="s">
        <v>1152</v>
      </c>
      <c r="L761" s="549"/>
      <c r="M761" s="540"/>
      <c r="O761" s="654"/>
      <c r="S761" s="550"/>
      <c r="T761" s="547"/>
      <c r="U761" s="547"/>
      <c r="V761" s="547"/>
      <c r="W761" s="549"/>
    </row>
    <row r="762" spans="1:23">
      <c r="A762" s="565">
        <v>1456</v>
      </c>
      <c r="B762" s="696" t="s">
        <v>6169</v>
      </c>
      <c r="C762" s="566">
        <f t="shared" si="11"/>
        <v>1456</v>
      </c>
      <c r="D762" s="700" t="s">
        <v>2223</v>
      </c>
      <c r="E762" s="701" t="s">
        <v>8642</v>
      </c>
      <c r="F762" s="566">
        <v>1</v>
      </c>
      <c r="G762" s="662">
        <v>11653.173523433199</v>
      </c>
      <c r="H762" s="662">
        <v>11954.620021961689</v>
      </c>
      <c r="I762" s="662">
        <v>0</v>
      </c>
      <c r="J762" s="662">
        <v>0</v>
      </c>
      <c r="K762" s="566" t="s">
        <v>1153</v>
      </c>
      <c r="L762" s="549"/>
      <c r="M762" s="540"/>
      <c r="O762" s="654"/>
      <c r="S762" s="550"/>
      <c r="T762" s="547"/>
      <c r="U762" s="547"/>
      <c r="V762" s="547"/>
      <c r="W762" s="549"/>
    </row>
    <row r="763" spans="1:23">
      <c r="A763" s="565">
        <v>1457</v>
      </c>
      <c r="B763" s="696" t="s">
        <v>6170</v>
      </c>
      <c r="C763" s="566">
        <f t="shared" si="11"/>
        <v>1457</v>
      </c>
      <c r="D763" s="700" t="s">
        <v>2223</v>
      </c>
      <c r="E763" s="701" t="s">
        <v>8643</v>
      </c>
      <c r="F763" s="566">
        <v>2</v>
      </c>
      <c r="G763" s="662">
        <v>14862.670420616334</v>
      </c>
      <c r="H763" s="662">
        <v>15330.159026198004</v>
      </c>
      <c r="I763" s="662">
        <v>15822.228170055754</v>
      </c>
      <c r="J763" s="662">
        <v>16340.195689906021</v>
      </c>
      <c r="K763" s="566" t="s">
        <v>1154</v>
      </c>
      <c r="L763" s="549"/>
      <c r="M763" s="540"/>
      <c r="O763" s="654"/>
      <c r="S763" s="550"/>
      <c r="T763" s="547"/>
      <c r="U763" s="547"/>
      <c r="V763" s="547"/>
      <c r="W763" s="549"/>
    </row>
    <row r="764" spans="1:23">
      <c r="A764" s="565">
        <v>1458</v>
      </c>
      <c r="B764" s="696" t="s">
        <v>6171</v>
      </c>
      <c r="C764" s="566">
        <f t="shared" si="11"/>
        <v>1458</v>
      </c>
      <c r="D764" s="700" t="s">
        <v>2223</v>
      </c>
      <c r="E764" s="701" t="s">
        <v>8644</v>
      </c>
      <c r="F764" s="566">
        <v>2</v>
      </c>
      <c r="G764" s="662">
        <v>15666.667211469006</v>
      </c>
      <c r="H764" s="662">
        <v>16167.560138297657</v>
      </c>
      <c r="I764" s="662">
        <v>16694.752522162958</v>
      </c>
      <c r="J764" s="662">
        <v>17249.734092657389</v>
      </c>
      <c r="K764" s="566" t="s">
        <v>1155</v>
      </c>
      <c r="L764" s="549"/>
      <c r="M764" s="540"/>
      <c r="O764" s="654"/>
      <c r="S764" s="550"/>
      <c r="T764" s="547"/>
      <c r="U764" s="547"/>
      <c r="V764" s="547"/>
      <c r="W764" s="549"/>
    </row>
    <row r="765" spans="1:23">
      <c r="A765" s="565">
        <v>1459</v>
      </c>
      <c r="B765" s="695" t="s">
        <v>6172</v>
      </c>
      <c r="C765" s="566">
        <f t="shared" si="11"/>
        <v>1459</v>
      </c>
      <c r="D765" s="699" t="s">
        <v>2223</v>
      </c>
      <c r="E765" s="701" t="s">
        <v>8645</v>
      </c>
      <c r="F765" s="567">
        <v>2</v>
      </c>
      <c r="G765" s="662">
        <v>13848.256005949203</v>
      </c>
      <c r="H765" s="662">
        <v>14264.119751421904</v>
      </c>
      <c r="I765" s="662">
        <v>14701.871062445802</v>
      </c>
      <c r="J765" s="662">
        <v>15162.655884861266</v>
      </c>
      <c r="K765" s="568" t="s">
        <v>1156</v>
      </c>
      <c r="L765" s="549"/>
      <c r="M765" s="540"/>
      <c r="O765" s="654"/>
      <c r="S765" s="550"/>
      <c r="T765" s="547"/>
      <c r="U765" s="547"/>
      <c r="V765" s="547"/>
      <c r="W765" s="549"/>
    </row>
    <row r="766" spans="1:23">
      <c r="A766" s="565">
        <v>1460</v>
      </c>
      <c r="B766" s="695" t="s">
        <v>6173</v>
      </c>
      <c r="C766" s="566">
        <f t="shared" si="11"/>
        <v>1460</v>
      </c>
      <c r="D766" s="699" t="s">
        <v>2223</v>
      </c>
      <c r="E766" s="701" t="s">
        <v>8646</v>
      </c>
      <c r="F766" s="567">
        <v>1</v>
      </c>
      <c r="G766" s="662">
        <v>0</v>
      </c>
      <c r="H766" s="662">
        <v>0</v>
      </c>
      <c r="I766" s="662">
        <v>11130.840256313633</v>
      </c>
      <c r="J766" s="662">
        <v>11392.041009071299</v>
      </c>
      <c r="K766" s="568" t="s">
        <v>3988</v>
      </c>
      <c r="L766" s="549"/>
      <c r="M766" s="540"/>
      <c r="O766" s="654"/>
      <c r="S766" s="550"/>
      <c r="T766" s="547"/>
      <c r="U766" s="547"/>
      <c r="V766" s="547"/>
      <c r="W766" s="549"/>
    </row>
    <row r="767" spans="1:23">
      <c r="A767" s="565">
        <v>1461</v>
      </c>
      <c r="B767" s="696" t="s">
        <v>6174</v>
      </c>
      <c r="C767" s="566">
        <f t="shared" si="11"/>
        <v>1461</v>
      </c>
      <c r="D767" s="700" t="s">
        <v>2224</v>
      </c>
      <c r="E767" s="701" t="s">
        <v>8647</v>
      </c>
      <c r="F767" s="566">
        <v>2</v>
      </c>
      <c r="G767" s="662">
        <v>11263.467634779516</v>
      </c>
      <c r="H767" s="662">
        <v>11588.545672531154</v>
      </c>
      <c r="I767" s="662">
        <v>11930.69019409178</v>
      </c>
      <c r="J767" s="662">
        <v>12290.897121593491</v>
      </c>
      <c r="K767" s="566" t="s">
        <v>1157</v>
      </c>
      <c r="L767" s="549"/>
      <c r="M767" s="540"/>
      <c r="O767" s="654"/>
      <c r="S767" s="550"/>
      <c r="T767" s="547"/>
      <c r="U767" s="547"/>
      <c r="V767" s="547"/>
      <c r="W767" s="549"/>
    </row>
    <row r="768" spans="1:23">
      <c r="A768" s="565">
        <v>1462</v>
      </c>
      <c r="B768" s="696" t="s">
        <v>6175</v>
      </c>
      <c r="C768" s="566">
        <f t="shared" si="11"/>
        <v>1462</v>
      </c>
      <c r="D768" s="700" t="s">
        <v>2224</v>
      </c>
      <c r="E768" s="701" t="s">
        <v>8648</v>
      </c>
      <c r="F768" s="566">
        <v>2</v>
      </c>
      <c r="G768" s="662">
        <v>12125.264488964098</v>
      </c>
      <c r="H768" s="662">
        <v>12487.14637641523</v>
      </c>
      <c r="I768" s="662">
        <v>12868.086591939536</v>
      </c>
      <c r="J768" s="662">
        <v>13269.081057669102</v>
      </c>
      <c r="K768" s="566" t="s">
        <v>1158</v>
      </c>
      <c r="L768" s="549"/>
      <c r="M768" s="540"/>
      <c r="O768" s="654"/>
      <c r="S768" s="550"/>
      <c r="T768" s="547"/>
      <c r="U768" s="547"/>
      <c r="V768" s="547"/>
      <c r="W768" s="549"/>
    </row>
    <row r="769" spans="1:23">
      <c r="A769" s="565">
        <v>1463</v>
      </c>
      <c r="B769" s="696" t="s">
        <v>6176</v>
      </c>
      <c r="C769" s="566">
        <f t="shared" si="11"/>
        <v>1463</v>
      </c>
      <c r="D769" s="700" t="s">
        <v>2224</v>
      </c>
      <c r="E769" s="701" t="s">
        <v>8649</v>
      </c>
      <c r="F769" s="566">
        <v>2</v>
      </c>
      <c r="G769" s="662">
        <v>13045.098240848829</v>
      </c>
      <c r="H769" s="662">
        <v>13446.319052517501</v>
      </c>
      <c r="I769" s="662">
        <v>13868.635305711352</v>
      </c>
      <c r="J769" s="662">
        <v>14313.178730125928</v>
      </c>
      <c r="K769" s="566" t="s">
        <v>1159</v>
      </c>
      <c r="L769" s="549"/>
      <c r="M769" s="540"/>
      <c r="O769" s="654"/>
      <c r="S769" s="550"/>
      <c r="T769" s="547"/>
      <c r="U769" s="547"/>
      <c r="V769" s="547"/>
      <c r="W769" s="549"/>
    </row>
    <row r="770" spans="1:23">
      <c r="A770" s="565">
        <v>1464</v>
      </c>
      <c r="B770" s="696" t="s">
        <v>6177</v>
      </c>
      <c r="C770" s="566">
        <f t="shared" si="11"/>
        <v>1464</v>
      </c>
      <c r="D770" s="700" t="s">
        <v>2224</v>
      </c>
      <c r="E770" s="701" t="s">
        <v>8650</v>
      </c>
      <c r="F770" s="566">
        <v>1</v>
      </c>
      <c r="G770" s="662">
        <v>17856.391636235203</v>
      </c>
      <c r="H770" s="662">
        <v>18504.643658601803</v>
      </c>
      <c r="I770" s="662">
        <v>19186.970993100396</v>
      </c>
      <c r="J770" s="662">
        <v>0</v>
      </c>
      <c r="K770" s="566" t="s">
        <v>1160</v>
      </c>
      <c r="L770" s="549"/>
      <c r="M770" s="540"/>
      <c r="O770" s="654"/>
      <c r="S770" s="550"/>
      <c r="T770" s="547"/>
      <c r="U770" s="547"/>
      <c r="V770" s="547"/>
      <c r="W770" s="549"/>
    </row>
    <row r="771" spans="1:23">
      <c r="A771" s="565">
        <v>1465</v>
      </c>
      <c r="B771" s="696" t="s">
        <v>6178</v>
      </c>
      <c r="C771" s="566">
        <f t="shared" si="11"/>
        <v>1465</v>
      </c>
      <c r="D771" s="700" t="s">
        <v>2224</v>
      </c>
      <c r="E771" s="701" t="s">
        <v>8651</v>
      </c>
      <c r="F771" s="566">
        <v>2</v>
      </c>
      <c r="G771" s="662">
        <v>20436.728661398123</v>
      </c>
      <c r="H771" s="662">
        <v>21193.791570809797</v>
      </c>
      <c r="I771" s="662">
        <v>21990.690800417658</v>
      </c>
      <c r="J771" s="662">
        <v>22829.543464852522</v>
      </c>
      <c r="K771" s="566" t="s">
        <v>1161</v>
      </c>
      <c r="L771" s="549"/>
      <c r="M771" s="540"/>
      <c r="O771" s="654"/>
      <c r="S771" s="550"/>
      <c r="T771" s="547"/>
      <c r="U771" s="547"/>
      <c r="V771" s="547"/>
      <c r="W771" s="549"/>
    </row>
    <row r="772" spans="1:23">
      <c r="A772" s="565">
        <v>1466</v>
      </c>
      <c r="B772" s="696" t="s">
        <v>6179</v>
      </c>
      <c r="C772" s="566">
        <f t="shared" si="11"/>
        <v>1466</v>
      </c>
      <c r="D772" s="700" t="s">
        <v>2224</v>
      </c>
      <c r="E772" s="701" t="s">
        <v>8652</v>
      </c>
      <c r="F772" s="566">
        <v>2</v>
      </c>
      <c r="G772" s="662">
        <v>20517.570925737844</v>
      </c>
      <c r="H772" s="662">
        <v>21272.603133360779</v>
      </c>
      <c r="I772" s="662">
        <v>22067.342041916785</v>
      </c>
      <c r="J772" s="662">
        <v>22903.947972457725</v>
      </c>
      <c r="K772" s="566" t="s">
        <v>1162</v>
      </c>
      <c r="L772" s="549"/>
      <c r="M772" s="540"/>
      <c r="O772" s="654"/>
      <c r="S772" s="550"/>
      <c r="T772" s="547"/>
      <c r="U772" s="547"/>
      <c r="V772" s="547"/>
      <c r="W772" s="549"/>
    </row>
    <row r="773" spans="1:23">
      <c r="A773" s="565">
        <v>1467</v>
      </c>
      <c r="B773" s="696" t="s">
        <v>6180</v>
      </c>
      <c r="C773" s="566">
        <f t="shared" si="11"/>
        <v>1467</v>
      </c>
      <c r="D773" s="700" t="s">
        <v>2224</v>
      </c>
      <c r="E773" s="701" t="s">
        <v>8653</v>
      </c>
      <c r="F773" s="566">
        <v>2</v>
      </c>
      <c r="G773" s="662">
        <v>19803.214395692521</v>
      </c>
      <c r="H773" s="662">
        <v>20520.61381059216</v>
      </c>
      <c r="I773" s="662">
        <v>21275.775637478207</v>
      </c>
      <c r="J773" s="662">
        <v>22070.687371718363</v>
      </c>
      <c r="K773" s="566" t="s">
        <v>1163</v>
      </c>
      <c r="L773" s="549"/>
      <c r="M773" s="540"/>
      <c r="O773" s="654"/>
      <c r="S773" s="550"/>
      <c r="T773" s="547"/>
      <c r="U773" s="547"/>
      <c r="V773" s="547"/>
      <c r="W773" s="549"/>
    </row>
    <row r="774" spans="1:23">
      <c r="A774" s="565">
        <v>1468</v>
      </c>
      <c r="B774" s="696" t="s">
        <v>6181</v>
      </c>
      <c r="C774" s="566">
        <f t="shared" si="11"/>
        <v>1468</v>
      </c>
      <c r="D774" s="700" t="s">
        <v>2224</v>
      </c>
      <c r="E774" s="701" t="s">
        <v>8654</v>
      </c>
      <c r="F774" s="566">
        <v>1</v>
      </c>
      <c r="G774" s="662">
        <v>27377.56077039491</v>
      </c>
      <c r="H774" s="662">
        <v>28356.657674347516</v>
      </c>
      <c r="I774" s="662">
        <v>29387.258777958778</v>
      </c>
      <c r="J774" s="662">
        <v>30472.122003566488</v>
      </c>
      <c r="K774" s="566" t="s">
        <v>1164</v>
      </c>
      <c r="L774" s="549"/>
      <c r="M774" s="540"/>
      <c r="O774" s="654"/>
      <c r="S774" s="550"/>
      <c r="T774" s="547"/>
      <c r="U774" s="547"/>
      <c r="V774" s="547"/>
      <c r="W774" s="549"/>
    </row>
    <row r="775" spans="1:23">
      <c r="A775" s="565">
        <v>1469</v>
      </c>
      <c r="B775" s="696" t="s">
        <v>6182</v>
      </c>
      <c r="C775" s="566">
        <f t="shared" si="11"/>
        <v>1469</v>
      </c>
      <c r="D775" s="700" t="s">
        <v>2224</v>
      </c>
      <c r="E775" s="701" t="s">
        <v>8655</v>
      </c>
      <c r="F775" s="566">
        <v>1</v>
      </c>
      <c r="G775" s="662">
        <v>18223.625421212986</v>
      </c>
      <c r="H775" s="662">
        <v>18850.673538743853</v>
      </c>
      <c r="I775" s="662">
        <v>19510.713302240802</v>
      </c>
      <c r="J775" s="662">
        <v>20205.502887194179</v>
      </c>
      <c r="K775" s="566" t="s">
        <v>1165</v>
      </c>
      <c r="L775" s="549"/>
      <c r="M775" s="540"/>
      <c r="O775" s="654"/>
      <c r="S775" s="550"/>
      <c r="T775" s="547"/>
      <c r="U775" s="547"/>
      <c r="V775" s="547"/>
      <c r="W775" s="549"/>
    </row>
    <row r="776" spans="1:23">
      <c r="A776" s="565">
        <v>1470</v>
      </c>
      <c r="B776" s="696" t="s">
        <v>6183</v>
      </c>
      <c r="C776" s="566">
        <f t="shared" si="11"/>
        <v>1470</v>
      </c>
      <c r="D776" s="700" t="s">
        <v>2224</v>
      </c>
      <c r="E776" s="701" t="s">
        <v>8656</v>
      </c>
      <c r="F776" s="566">
        <v>1</v>
      </c>
      <c r="G776" s="662">
        <v>15917.202645641866</v>
      </c>
      <c r="H776" s="662">
        <v>16473.30917925826</v>
      </c>
      <c r="I776" s="662">
        <v>0</v>
      </c>
      <c r="J776" s="662">
        <v>0</v>
      </c>
      <c r="K776" s="566" t="s">
        <v>1166</v>
      </c>
      <c r="L776" s="549"/>
      <c r="M776" s="540"/>
      <c r="O776" s="654"/>
      <c r="S776" s="550"/>
      <c r="T776" s="547"/>
      <c r="U776" s="547"/>
      <c r="V776" s="547"/>
      <c r="W776" s="549"/>
    </row>
    <row r="777" spans="1:23">
      <c r="A777" s="565">
        <v>1471</v>
      </c>
      <c r="B777" s="696" t="s">
        <v>6184</v>
      </c>
      <c r="C777" s="566">
        <f t="shared" ref="C777:C840" si="12">A777</f>
        <v>1471</v>
      </c>
      <c r="D777" s="700" t="s">
        <v>2224</v>
      </c>
      <c r="E777" s="701" t="s">
        <v>8657</v>
      </c>
      <c r="F777" s="566">
        <v>1</v>
      </c>
      <c r="G777" s="662">
        <v>0</v>
      </c>
      <c r="H777" s="662">
        <v>0</v>
      </c>
      <c r="I777" s="662">
        <v>20059.323944249914</v>
      </c>
      <c r="J777" s="662">
        <v>20748.625018463445</v>
      </c>
      <c r="K777" s="566" t="s">
        <v>3989</v>
      </c>
      <c r="L777" s="549"/>
      <c r="M777" s="540"/>
      <c r="O777" s="654"/>
      <c r="S777" s="550"/>
      <c r="T777" s="547"/>
      <c r="U777" s="547"/>
      <c r="V777" s="547"/>
      <c r="W777" s="549"/>
    </row>
    <row r="778" spans="1:23">
      <c r="A778" s="565">
        <v>1472</v>
      </c>
      <c r="B778" s="696" t="s">
        <v>6185</v>
      </c>
      <c r="C778" s="566">
        <f t="shared" si="12"/>
        <v>1472</v>
      </c>
      <c r="D778" s="700" t="s">
        <v>2224</v>
      </c>
      <c r="E778" s="701" t="s">
        <v>8658</v>
      </c>
      <c r="F778" s="566">
        <v>1</v>
      </c>
      <c r="G778" s="662">
        <v>0</v>
      </c>
      <c r="H778" s="662">
        <v>0</v>
      </c>
      <c r="I778" s="662">
        <v>18393.156489726491</v>
      </c>
      <c r="J778" s="662">
        <v>19017.838430382984</v>
      </c>
      <c r="K778" s="566" t="s">
        <v>3990</v>
      </c>
      <c r="L778" s="549"/>
      <c r="M778" s="540"/>
      <c r="O778" s="654"/>
      <c r="S778" s="550"/>
      <c r="T778" s="547"/>
      <c r="U778" s="547"/>
      <c r="V778" s="547"/>
      <c r="W778" s="549"/>
    </row>
    <row r="779" spans="1:23">
      <c r="A779" s="565">
        <v>1473</v>
      </c>
      <c r="B779" s="696" t="s">
        <v>6186</v>
      </c>
      <c r="C779" s="566">
        <f t="shared" si="12"/>
        <v>1473</v>
      </c>
      <c r="D779" s="700" t="s">
        <v>2224</v>
      </c>
      <c r="E779" s="701" t="s">
        <v>8659</v>
      </c>
      <c r="F779" s="566">
        <v>1</v>
      </c>
      <c r="G779" s="662">
        <v>13841.236997056405</v>
      </c>
      <c r="H779" s="662">
        <v>14301.483478921762</v>
      </c>
      <c r="I779" s="662">
        <v>0</v>
      </c>
      <c r="J779" s="662">
        <v>0</v>
      </c>
      <c r="K779" s="566" t="s">
        <v>1167</v>
      </c>
      <c r="L779" s="549"/>
      <c r="M779" s="540"/>
      <c r="O779" s="654"/>
      <c r="S779" s="550"/>
      <c r="T779" s="547"/>
      <c r="U779" s="547"/>
      <c r="V779" s="547"/>
      <c r="W779" s="549"/>
    </row>
    <row r="780" spans="1:23">
      <c r="A780" s="565">
        <v>1474</v>
      </c>
      <c r="B780" s="696" t="s">
        <v>6187</v>
      </c>
      <c r="C780" s="566">
        <f t="shared" si="12"/>
        <v>1474</v>
      </c>
      <c r="D780" s="700" t="s">
        <v>2224</v>
      </c>
      <c r="E780" s="701" t="s">
        <v>8660</v>
      </c>
      <c r="F780" s="566">
        <v>1</v>
      </c>
      <c r="G780" s="662">
        <v>0</v>
      </c>
      <c r="H780" s="662">
        <v>0</v>
      </c>
      <c r="I780" s="662">
        <v>20259.699255232365</v>
      </c>
      <c r="J780" s="662">
        <v>20956.776453188504</v>
      </c>
      <c r="K780" s="566" t="s">
        <v>3991</v>
      </c>
      <c r="L780" s="549"/>
      <c r="M780" s="540"/>
      <c r="O780" s="654"/>
      <c r="S780" s="550"/>
      <c r="T780" s="547"/>
      <c r="U780" s="547"/>
      <c r="V780" s="547"/>
      <c r="W780" s="549"/>
    </row>
    <row r="781" spans="1:23">
      <c r="A781" s="565">
        <v>1475</v>
      </c>
      <c r="B781" s="696" t="s">
        <v>6188</v>
      </c>
      <c r="C781" s="566">
        <f t="shared" si="12"/>
        <v>1475</v>
      </c>
      <c r="D781" s="700" t="s">
        <v>2224</v>
      </c>
      <c r="E781" s="701" t="s">
        <v>8661</v>
      </c>
      <c r="F781" s="566">
        <v>1</v>
      </c>
      <c r="G781" s="662">
        <v>0</v>
      </c>
      <c r="H781" s="662">
        <v>0</v>
      </c>
      <c r="I781" s="662">
        <v>20537.402925867835</v>
      </c>
      <c r="J781" s="662">
        <v>0</v>
      </c>
      <c r="K781" s="566" t="s">
        <v>4740</v>
      </c>
      <c r="L781" s="549"/>
      <c r="M781" s="540"/>
      <c r="O781" s="654"/>
      <c r="S781" s="550"/>
      <c r="T781" s="547"/>
      <c r="U781" s="547"/>
      <c r="V781" s="547"/>
      <c r="W781" s="549"/>
    </row>
    <row r="782" spans="1:23">
      <c r="A782" s="565">
        <v>1476</v>
      </c>
      <c r="B782" s="696" t="s">
        <v>6189</v>
      </c>
      <c r="C782" s="566">
        <f t="shared" si="12"/>
        <v>1476</v>
      </c>
      <c r="D782" s="700" t="s">
        <v>2224</v>
      </c>
      <c r="E782" s="701" t="s">
        <v>8662</v>
      </c>
      <c r="F782" s="566">
        <v>1</v>
      </c>
      <c r="G782" s="662">
        <v>19102.247704767367</v>
      </c>
      <c r="H782" s="662">
        <v>19596.429263819984</v>
      </c>
      <c r="I782" s="662">
        <v>20116.615179560533</v>
      </c>
      <c r="J782" s="662">
        <v>20664.188399733117</v>
      </c>
      <c r="K782" s="566" t="s">
        <v>1168</v>
      </c>
      <c r="L782" s="549"/>
      <c r="M782" s="540"/>
      <c r="O782" s="654"/>
      <c r="S782" s="550"/>
      <c r="T782" s="547"/>
      <c r="U782" s="547"/>
      <c r="V782" s="547"/>
      <c r="W782" s="549"/>
    </row>
    <row r="783" spans="1:23">
      <c r="A783" s="565">
        <v>1477</v>
      </c>
      <c r="B783" s="696" t="s">
        <v>6190</v>
      </c>
      <c r="C783" s="566">
        <f t="shared" si="12"/>
        <v>1477</v>
      </c>
      <c r="D783" s="700" t="s">
        <v>2224</v>
      </c>
      <c r="E783" s="701" t="s">
        <v>8663</v>
      </c>
      <c r="F783" s="566">
        <v>1</v>
      </c>
      <c r="G783" s="662">
        <v>22631.069153790566</v>
      </c>
      <c r="H783" s="662">
        <v>23218.204557642242</v>
      </c>
      <c r="I783" s="662">
        <v>23805.339961493912</v>
      </c>
      <c r="J783" s="662">
        <v>24423.369430128696</v>
      </c>
      <c r="K783" s="566" t="s">
        <v>1169</v>
      </c>
      <c r="L783" s="549"/>
      <c r="M783" s="540"/>
      <c r="O783" s="654"/>
      <c r="S783" s="550"/>
      <c r="T783" s="547"/>
      <c r="U783" s="547"/>
      <c r="V783" s="547"/>
      <c r="W783" s="549"/>
    </row>
    <row r="784" spans="1:23">
      <c r="A784" s="565">
        <v>1478</v>
      </c>
      <c r="B784" s="696" t="s">
        <v>6191</v>
      </c>
      <c r="C784" s="566">
        <f t="shared" si="12"/>
        <v>1478</v>
      </c>
      <c r="D784" s="700" t="s">
        <v>2224</v>
      </c>
      <c r="E784" s="701" t="s">
        <v>8664</v>
      </c>
      <c r="F784" s="566">
        <v>1</v>
      </c>
      <c r="G784" s="662">
        <v>17954.68461600611</v>
      </c>
      <c r="H784" s="662">
        <v>18383.052679737386</v>
      </c>
      <c r="I784" s="662">
        <v>18833.967730796387</v>
      </c>
      <c r="J784" s="662">
        <v>19308.61515296375</v>
      </c>
      <c r="K784" s="566" t="s">
        <v>1170</v>
      </c>
      <c r="L784" s="549"/>
      <c r="M784" s="540"/>
      <c r="O784" s="654"/>
      <c r="S784" s="550"/>
      <c r="T784" s="547"/>
      <c r="U784" s="547"/>
      <c r="V784" s="547"/>
      <c r="W784" s="549"/>
    </row>
    <row r="785" spans="1:23">
      <c r="A785" s="565">
        <v>1479</v>
      </c>
      <c r="B785" s="696" t="s">
        <v>6192</v>
      </c>
      <c r="C785" s="566">
        <f t="shared" si="12"/>
        <v>1479</v>
      </c>
      <c r="D785" s="700" t="s">
        <v>2224</v>
      </c>
      <c r="E785" s="701" t="s">
        <v>8665</v>
      </c>
      <c r="F785" s="566">
        <v>1</v>
      </c>
      <c r="G785" s="662">
        <v>17235.413933459429</v>
      </c>
      <c r="H785" s="662">
        <v>17674.722101666262</v>
      </c>
      <c r="I785" s="662">
        <v>18137.145253595714</v>
      </c>
      <c r="J785" s="662">
        <v>18623.918164019276</v>
      </c>
      <c r="K785" s="566" t="s">
        <v>1171</v>
      </c>
      <c r="L785" s="549"/>
      <c r="M785" s="540"/>
      <c r="O785" s="654"/>
      <c r="S785" s="550"/>
      <c r="T785" s="547"/>
      <c r="U785" s="547"/>
      <c r="V785" s="547"/>
      <c r="W785" s="549"/>
    </row>
    <row r="786" spans="1:23">
      <c r="A786" s="565">
        <v>1480</v>
      </c>
      <c r="B786" s="696" t="s">
        <v>6193</v>
      </c>
      <c r="C786" s="566">
        <f t="shared" si="12"/>
        <v>1480</v>
      </c>
      <c r="D786" s="700" t="s">
        <v>2224</v>
      </c>
      <c r="E786" s="701" t="s">
        <v>8666</v>
      </c>
      <c r="F786" s="566">
        <v>1</v>
      </c>
      <c r="G786" s="662">
        <v>20061.150643000739</v>
      </c>
      <c r="H786" s="662">
        <v>20775.074539815152</v>
      </c>
      <c r="I786" s="662">
        <v>0</v>
      </c>
      <c r="J786" s="662">
        <v>0</v>
      </c>
      <c r="K786" s="566" t="s">
        <v>1172</v>
      </c>
      <c r="L786" s="549"/>
      <c r="M786" s="540"/>
      <c r="O786" s="654"/>
      <c r="S786" s="550"/>
      <c r="T786" s="547"/>
      <c r="U786" s="547"/>
      <c r="V786" s="547"/>
      <c r="W786" s="549"/>
    </row>
    <row r="787" spans="1:23">
      <c r="A787" s="565">
        <v>1481</v>
      </c>
      <c r="B787" s="696" t="s">
        <v>6194</v>
      </c>
      <c r="C787" s="566">
        <f t="shared" si="12"/>
        <v>1481</v>
      </c>
      <c r="D787" s="700" t="s">
        <v>2224</v>
      </c>
      <c r="E787" s="701" t="s">
        <v>8667</v>
      </c>
      <c r="F787" s="566">
        <v>1</v>
      </c>
      <c r="G787" s="662">
        <v>22980.498569998839</v>
      </c>
      <c r="H787" s="662">
        <v>23872.211833005211</v>
      </c>
      <c r="I787" s="662">
        <v>0</v>
      </c>
      <c r="J787" s="662">
        <v>0</v>
      </c>
      <c r="K787" s="566" t="s">
        <v>1173</v>
      </c>
      <c r="L787" s="549"/>
      <c r="M787" s="540"/>
      <c r="O787" s="654"/>
      <c r="S787" s="550"/>
      <c r="T787" s="547"/>
      <c r="U787" s="547"/>
      <c r="V787" s="547"/>
      <c r="W787" s="549"/>
    </row>
    <row r="788" spans="1:23">
      <c r="A788" s="565">
        <v>1482</v>
      </c>
      <c r="B788" s="696" t="s">
        <v>6195</v>
      </c>
      <c r="C788" s="566">
        <f t="shared" si="12"/>
        <v>1482</v>
      </c>
      <c r="D788" s="700" t="s">
        <v>2224</v>
      </c>
      <c r="E788" s="701" t="s">
        <v>8668</v>
      </c>
      <c r="F788" s="566">
        <v>1</v>
      </c>
      <c r="G788" s="662">
        <v>0</v>
      </c>
      <c r="H788" s="662">
        <v>0</v>
      </c>
      <c r="I788" s="662">
        <v>21149.466050508177</v>
      </c>
      <c r="J788" s="662">
        <v>21897.785919101429</v>
      </c>
      <c r="K788" s="566" t="s">
        <v>3992</v>
      </c>
      <c r="L788" s="549"/>
      <c r="M788" s="540"/>
      <c r="O788" s="654"/>
      <c r="S788" s="550"/>
      <c r="T788" s="547"/>
      <c r="U788" s="547"/>
      <c r="V788" s="547"/>
      <c r="W788" s="549"/>
    </row>
    <row r="789" spans="1:23">
      <c r="A789" s="565">
        <v>1483</v>
      </c>
      <c r="B789" s="696" t="s">
        <v>6196</v>
      </c>
      <c r="C789" s="566">
        <f t="shared" si="12"/>
        <v>1483</v>
      </c>
      <c r="D789" s="700" t="s">
        <v>2224</v>
      </c>
      <c r="E789" s="701" t="s">
        <v>8669</v>
      </c>
      <c r="F789" s="566">
        <v>1</v>
      </c>
      <c r="G789" s="662">
        <v>0</v>
      </c>
      <c r="H789" s="662">
        <v>0</v>
      </c>
      <c r="I789" s="662">
        <v>22451.136189081757</v>
      </c>
      <c r="J789" s="662">
        <v>23251.096122544037</v>
      </c>
      <c r="K789" s="566" t="s">
        <v>3993</v>
      </c>
      <c r="L789" s="549"/>
      <c r="M789" s="540"/>
      <c r="O789" s="654"/>
      <c r="S789" s="550"/>
      <c r="T789" s="547"/>
      <c r="U789" s="547"/>
      <c r="V789" s="547"/>
      <c r="W789" s="549"/>
    </row>
    <row r="790" spans="1:23">
      <c r="A790" s="565">
        <v>1484</v>
      </c>
      <c r="B790" s="695" t="s">
        <v>6197</v>
      </c>
      <c r="C790" s="566">
        <f t="shared" si="12"/>
        <v>1484</v>
      </c>
      <c r="D790" s="699" t="s">
        <v>2224</v>
      </c>
      <c r="E790" s="701" t="s">
        <v>8670</v>
      </c>
      <c r="F790" s="567">
        <v>1</v>
      </c>
      <c r="G790" s="662">
        <v>0</v>
      </c>
      <c r="H790" s="662">
        <v>0</v>
      </c>
      <c r="I790" s="662">
        <v>23415.766738203241</v>
      </c>
      <c r="J790" s="662">
        <v>24253.995648309548</v>
      </c>
      <c r="K790" s="568" t="s">
        <v>3994</v>
      </c>
      <c r="L790" s="549"/>
      <c r="M790" s="540"/>
      <c r="O790" s="654"/>
      <c r="S790" s="550"/>
      <c r="T790" s="547"/>
      <c r="U790" s="547"/>
      <c r="V790" s="547"/>
      <c r="W790" s="549"/>
    </row>
    <row r="791" spans="1:23">
      <c r="A791" s="565">
        <v>1485</v>
      </c>
      <c r="B791" s="695" t="s">
        <v>6198</v>
      </c>
      <c r="C791" s="566">
        <f t="shared" si="12"/>
        <v>1485</v>
      </c>
      <c r="D791" s="699" t="s">
        <v>2224</v>
      </c>
      <c r="E791" s="701" t="s">
        <v>8671</v>
      </c>
      <c r="F791" s="567">
        <v>1</v>
      </c>
      <c r="G791" s="662">
        <v>0</v>
      </c>
      <c r="H791" s="662">
        <v>0</v>
      </c>
      <c r="I791" s="662">
        <v>0</v>
      </c>
      <c r="J791" s="662">
        <v>22371.059646279671</v>
      </c>
      <c r="K791" s="568" t="s">
        <v>4741</v>
      </c>
      <c r="L791" s="549"/>
      <c r="M791" s="540"/>
      <c r="O791" s="654"/>
      <c r="S791" s="550"/>
      <c r="T791" s="547"/>
      <c r="U791" s="547"/>
      <c r="V791" s="547"/>
      <c r="W791" s="549"/>
    </row>
    <row r="792" spans="1:23">
      <c r="A792" s="565">
        <v>1486</v>
      </c>
      <c r="B792" s="696" t="s">
        <v>6199</v>
      </c>
      <c r="C792" s="566">
        <f t="shared" si="12"/>
        <v>1486</v>
      </c>
      <c r="D792" s="700" t="s">
        <v>2224</v>
      </c>
      <c r="E792" s="701" t="s">
        <v>8672</v>
      </c>
      <c r="F792" s="566">
        <v>1</v>
      </c>
      <c r="G792" s="662">
        <v>0</v>
      </c>
      <c r="H792" s="662">
        <v>0</v>
      </c>
      <c r="I792" s="662">
        <v>25391.516055680993</v>
      </c>
      <c r="J792" s="662">
        <v>26308.127207106369</v>
      </c>
      <c r="K792" s="566" t="s">
        <v>3995</v>
      </c>
      <c r="L792" s="549"/>
      <c r="M792" s="540"/>
      <c r="O792" s="654"/>
      <c r="S792" s="550"/>
      <c r="T792" s="547"/>
      <c r="U792" s="547"/>
      <c r="V792" s="547"/>
      <c r="W792" s="549"/>
    </row>
    <row r="793" spans="1:23">
      <c r="A793" s="565">
        <v>1487</v>
      </c>
      <c r="B793" s="696" t="s">
        <v>6200</v>
      </c>
      <c r="C793" s="566">
        <f t="shared" si="12"/>
        <v>1487</v>
      </c>
      <c r="D793" s="700" t="s">
        <v>2224</v>
      </c>
      <c r="E793" s="701" t="s">
        <v>8673</v>
      </c>
      <c r="F793" s="566">
        <v>1</v>
      </c>
      <c r="G793" s="662">
        <v>0</v>
      </c>
      <c r="H793" s="662">
        <v>0</v>
      </c>
      <c r="I793" s="662">
        <v>26001.673933137361</v>
      </c>
      <c r="J793" s="662">
        <v>26942.491364970097</v>
      </c>
      <c r="K793" s="566" t="s">
        <v>3996</v>
      </c>
      <c r="L793" s="549"/>
      <c r="M793" s="540"/>
      <c r="O793" s="654"/>
      <c r="S793" s="550"/>
      <c r="T793" s="547"/>
      <c r="U793" s="547"/>
      <c r="V793" s="547"/>
      <c r="W793" s="549"/>
    </row>
    <row r="794" spans="1:23">
      <c r="A794" s="565">
        <v>1488</v>
      </c>
      <c r="B794" s="695" t="s">
        <v>6201</v>
      </c>
      <c r="C794" s="566">
        <f t="shared" si="12"/>
        <v>1488</v>
      </c>
      <c r="D794" s="699" t="s">
        <v>2224</v>
      </c>
      <c r="E794" s="701" t="s">
        <v>8674</v>
      </c>
      <c r="F794" s="567">
        <v>1</v>
      </c>
      <c r="G794" s="662">
        <v>0</v>
      </c>
      <c r="H794" s="662">
        <v>0</v>
      </c>
      <c r="I794" s="662">
        <v>0</v>
      </c>
      <c r="J794" s="662">
        <v>28492.858712591642</v>
      </c>
      <c r="K794" s="568" t="s">
        <v>4742</v>
      </c>
      <c r="L794" s="549"/>
      <c r="M794" s="540"/>
      <c r="O794" s="654"/>
      <c r="S794" s="550"/>
      <c r="T794" s="547"/>
      <c r="U794" s="547"/>
      <c r="V794" s="547"/>
      <c r="W794" s="549"/>
    </row>
    <row r="795" spans="1:23">
      <c r="A795" s="565">
        <v>1489</v>
      </c>
      <c r="B795" s="696" t="s">
        <v>6202</v>
      </c>
      <c r="C795" s="566">
        <f t="shared" si="12"/>
        <v>1489</v>
      </c>
      <c r="D795" s="700" t="s">
        <v>2224</v>
      </c>
      <c r="E795" s="701" t="s">
        <v>8675</v>
      </c>
      <c r="F795" s="566">
        <v>1</v>
      </c>
      <c r="G795" s="662">
        <v>17064.535192520667</v>
      </c>
      <c r="H795" s="662">
        <v>17658.119295309916</v>
      </c>
      <c r="I795" s="662">
        <v>0</v>
      </c>
      <c r="J795" s="662">
        <v>0</v>
      </c>
      <c r="K795" s="566" t="s">
        <v>1174</v>
      </c>
      <c r="L795" s="549"/>
      <c r="M795" s="540"/>
      <c r="O795" s="654"/>
      <c r="S795" s="550"/>
      <c r="T795" s="547"/>
      <c r="U795" s="547"/>
      <c r="V795" s="547"/>
      <c r="W795" s="549"/>
    </row>
    <row r="796" spans="1:23">
      <c r="A796" s="565">
        <v>1490</v>
      </c>
      <c r="B796" s="696" t="s">
        <v>6203</v>
      </c>
      <c r="C796" s="566">
        <f t="shared" si="12"/>
        <v>1490</v>
      </c>
      <c r="D796" s="700" t="s">
        <v>2224</v>
      </c>
      <c r="E796" s="701" t="s">
        <v>8676</v>
      </c>
      <c r="F796" s="566">
        <v>1</v>
      </c>
      <c r="G796" s="662">
        <v>16709.841113587587</v>
      </c>
      <c r="H796" s="662">
        <v>17282.031475216801</v>
      </c>
      <c r="I796" s="662">
        <v>17884.329838952701</v>
      </c>
      <c r="J796" s="662">
        <v>18518.349956822436</v>
      </c>
      <c r="K796" s="566" t="s">
        <v>1175</v>
      </c>
      <c r="L796" s="549"/>
      <c r="M796" s="540"/>
      <c r="O796" s="654"/>
      <c r="S796" s="550"/>
      <c r="T796" s="547"/>
      <c r="U796" s="547"/>
      <c r="V796" s="547"/>
      <c r="W796" s="549"/>
    </row>
    <row r="797" spans="1:23">
      <c r="A797" s="565">
        <v>1491</v>
      </c>
      <c r="B797" s="696" t="s">
        <v>6204</v>
      </c>
      <c r="C797" s="566">
        <f t="shared" si="12"/>
        <v>1491</v>
      </c>
      <c r="D797" s="700" t="s">
        <v>2224</v>
      </c>
      <c r="E797" s="701" t="s">
        <v>8677</v>
      </c>
      <c r="F797" s="566">
        <v>1</v>
      </c>
      <c r="G797" s="662">
        <v>20330.111186495338</v>
      </c>
      <c r="H797" s="662">
        <v>21045.925478541569</v>
      </c>
      <c r="I797" s="662">
        <v>0</v>
      </c>
      <c r="J797" s="662">
        <v>0</v>
      </c>
      <c r="K797" s="566" t="s">
        <v>1176</v>
      </c>
      <c r="L797" s="549"/>
      <c r="M797" s="540"/>
      <c r="O797" s="654"/>
      <c r="S797" s="550"/>
      <c r="T797" s="547"/>
      <c r="U797" s="547"/>
      <c r="V797" s="547"/>
      <c r="W797" s="549"/>
    </row>
    <row r="798" spans="1:23">
      <c r="A798" s="565">
        <v>1492</v>
      </c>
      <c r="B798" s="696" t="s">
        <v>6205</v>
      </c>
      <c r="C798" s="566">
        <f t="shared" si="12"/>
        <v>1492</v>
      </c>
      <c r="D798" s="700" t="s">
        <v>2224</v>
      </c>
      <c r="E798" s="701" t="s">
        <v>8678</v>
      </c>
      <c r="F798" s="566">
        <v>1</v>
      </c>
      <c r="G798" s="662">
        <v>31288.11209017297</v>
      </c>
      <c r="H798" s="662">
        <v>32524.142446197544</v>
      </c>
      <c r="I798" s="662">
        <v>33825.185739448709</v>
      </c>
      <c r="J798" s="662">
        <v>35194.746287540431</v>
      </c>
      <c r="K798" s="566" t="s">
        <v>1177</v>
      </c>
      <c r="L798" s="549"/>
      <c r="M798" s="540"/>
      <c r="O798" s="654"/>
      <c r="S798" s="550"/>
      <c r="T798" s="547"/>
      <c r="U798" s="547"/>
      <c r="V798" s="547"/>
      <c r="W798" s="549"/>
    </row>
    <row r="799" spans="1:23">
      <c r="A799" s="565">
        <v>1493</v>
      </c>
      <c r="B799" s="696" t="s">
        <v>6206</v>
      </c>
      <c r="C799" s="566">
        <f t="shared" si="12"/>
        <v>1493</v>
      </c>
      <c r="D799" s="700" t="s">
        <v>2224</v>
      </c>
      <c r="E799" s="701" t="s">
        <v>8679</v>
      </c>
      <c r="F799" s="566">
        <v>1</v>
      </c>
      <c r="G799" s="662">
        <v>31493.969585479324</v>
      </c>
      <c r="H799" s="662">
        <v>32738.786887162845</v>
      </c>
      <c r="I799" s="662">
        <v>34049.087855304671</v>
      </c>
      <c r="J799" s="662">
        <v>35428.376807518805</v>
      </c>
      <c r="K799" s="566" t="s">
        <v>1178</v>
      </c>
      <c r="L799" s="549"/>
      <c r="M799" s="540"/>
      <c r="O799" s="654"/>
      <c r="S799" s="550"/>
      <c r="T799" s="547"/>
      <c r="U799" s="547"/>
      <c r="V799" s="547"/>
      <c r="W799" s="549"/>
    </row>
    <row r="800" spans="1:23">
      <c r="A800" s="565">
        <v>1494</v>
      </c>
      <c r="B800" s="696" t="s">
        <v>6207</v>
      </c>
      <c r="C800" s="566">
        <f t="shared" si="12"/>
        <v>1494</v>
      </c>
      <c r="D800" s="700" t="s">
        <v>2224</v>
      </c>
      <c r="E800" s="701" t="s">
        <v>8680</v>
      </c>
      <c r="F800" s="566">
        <v>1</v>
      </c>
      <c r="G800" s="662">
        <v>0</v>
      </c>
      <c r="H800" s="662">
        <v>0</v>
      </c>
      <c r="I800" s="662">
        <v>0</v>
      </c>
      <c r="J800" s="662">
        <v>22094.415518753587</v>
      </c>
      <c r="K800" s="566" t="s">
        <v>4743</v>
      </c>
      <c r="L800" s="549"/>
      <c r="M800" s="540"/>
      <c r="S800" s="550"/>
      <c r="T800" s="547"/>
      <c r="U800" s="547"/>
      <c r="V800" s="547"/>
      <c r="W800" s="549"/>
    </row>
    <row r="801" spans="1:23">
      <c r="A801" s="565">
        <v>1495</v>
      </c>
      <c r="B801" s="696" t="s">
        <v>6208</v>
      </c>
      <c r="C801" s="566">
        <f t="shared" si="12"/>
        <v>1495</v>
      </c>
      <c r="D801" s="700" t="s">
        <v>2224</v>
      </c>
      <c r="E801" s="701" t="s">
        <v>8681</v>
      </c>
      <c r="F801" s="566">
        <v>1</v>
      </c>
      <c r="G801" s="662">
        <v>36235.137994857861</v>
      </c>
      <c r="H801" s="662">
        <v>37698.164447071795</v>
      </c>
      <c r="I801" s="662">
        <v>39238.181280297409</v>
      </c>
      <c r="J801" s="662">
        <v>40859.268147876362</v>
      </c>
      <c r="K801" s="566" t="s">
        <v>1179</v>
      </c>
      <c r="L801" s="549"/>
      <c r="M801" s="540"/>
      <c r="S801" s="550"/>
      <c r="T801" s="547"/>
      <c r="U801" s="547"/>
      <c r="V801" s="547"/>
      <c r="W801" s="549"/>
    </row>
    <row r="802" spans="1:23">
      <c r="A802" s="565">
        <v>1496</v>
      </c>
      <c r="B802" s="696" t="s">
        <v>6209</v>
      </c>
      <c r="C802" s="566">
        <f t="shared" si="12"/>
        <v>1496</v>
      </c>
      <c r="D802" s="700" t="s">
        <v>2224</v>
      </c>
      <c r="E802" s="701" t="s">
        <v>8682</v>
      </c>
      <c r="F802" s="566">
        <v>1</v>
      </c>
      <c r="G802" s="662">
        <v>38630.479812638696</v>
      </c>
      <c r="H802" s="662">
        <v>40117.823707229116</v>
      </c>
      <c r="I802" s="662">
        <v>41683.503467910647</v>
      </c>
      <c r="J802" s="662">
        <v>43331.57501550435</v>
      </c>
      <c r="K802" s="566" t="s">
        <v>1180</v>
      </c>
      <c r="L802" s="549"/>
      <c r="M802" s="540"/>
      <c r="S802" s="550"/>
      <c r="T802" s="547"/>
      <c r="U802" s="547"/>
      <c r="V802" s="547"/>
      <c r="W802" s="549"/>
    </row>
    <row r="803" spans="1:23">
      <c r="A803" s="565">
        <v>1497</v>
      </c>
      <c r="B803" s="696" t="s">
        <v>6210</v>
      </c>
      <c r="C803" s="566">
        <f t="shared" si="12"/>
        <v>1497</v>
      </c>
      <c r="D803" s="700" t="s">
        <v>2224</v>
      </c>
      <c r="E803" s="701" t="s">
        <v>8683</v>
      </c>
      <c r="F803" s="566">
        <v>1</v>
      </c>
      <c r="G803" s="662">
        <v>35937.587318153259</v>
      </c>
      <c r="H803" s="662">
        <v>37389.465486494148</v>
      </c>
      <c r="I803" s="662">
        <v>38841.343654835036</v>
      </c>
      <c r="J803" s="662">
        <v>40369.624052596482</v>
      </c>
      <c r="K803" s="566" t="s">
        <v>1181</v>
      </c>
      <c r="L803" s="549"/>
      <c r="M803" s="540"/>
      <c r="S803" s="550"/>
      <c r="T803" s="547"/>
      <c r="U803" s="547"/>
      <c r="V803" s="547"/>
      <c r="W803" s="549"/>
    </row>
    <row r="804" spans="1:23">
      <c r="A804" s="565">
        <v>1498</v>
      </c>
      <c r="B804" s="696" t="s">
        <v>6211</v>
      </c>
      <c r="C804" s="566">
        <f t="shared" si="12"/>
        <v>1498</v>
      </c>
      <c r="D804" s="700" t="s">
        <v>2224</v>
      </c>
      <c r="E804" s="701" t="s">
        <v>8684</v>
      </c>
      <c r="F804" s="566">
        <v>2</v>
      </c>
      <c r="G804" s="662">
        <v>27592.474318678895</v>
      </c>
      <c r="H804" s="662">
        <v>28565.299864735523</v>
      </c>
      <c r="I804" s="662">
        <v>29589.324372755407</v>
      </c>
      <c r="J804" s="662">
        <v>30667.263968041618</v>
      </c>
      <c r="K804" s="566" t="s">
        <v>1182</v>
      </c>
      <c r="L804" s="549"/>
      <c r="M804" s="540"/>
      <c r="S804" s="550"/>
      <c r="T804" s="547"/>
      <c r="U804" s="547"/>
      <c r="V804" s="547"/>
      <c r="W804" s="549"/>
    </row>
    <row r="805" spans="1:23">
      <c r="A805" s="565">
        <v>1499</v>
      </c>
      <c r="B805" s="696" t="s">
        <v>6212</v>
      </c>
      <c r="C805" s="566">
        <f t="shared" si="12"/>
        <v>1499</v>
      </c>
      <c r="D805" s="700" t="s">
        <v>2224</v>
      </c>
      <c r="E805" s="701" t="s">
        <v>8685</v>
      </c>
      <c r="F805" s="566">
        <v>1</v>
      </c>
      <c r="G805" s="662">
        <v>27758.407011310675</v>
      </c>
      <c r="H805" s="662">
        <v>28798.750701920748</v>
      </c>
      <c r="I805" s="662">
        <v>29893.849323615588</v>
      </c>
      <c r="J805" s="662">
        <v>31046.626912335942</v>
      </c>
      <c r="K805" s="566" t="s">
        <v>1183</v>
      </c>
      <c r="L805" s="549"/>
      <c r="M805" s="540"/>
      <c r="S805" s="550"/>
      <c r="T805" s="547"/>
      <c r="U805" s="547"/>
      <c r="V805" s="547"/>
      <c r="W805" s="549"/>
    </row>
    <row r="806" spans="1:23">
      <c r="A806" s="565">
        <v>1500</v>
      </c>
      <c r="B806" s="696" t="s">
        <v>6213</v>
      </c>
      <c r="C806" s="566">
        <f t="shared" si="12"/>
        <v>1500</v>
      </c>
      <c r="D806" s="700" t="s">
        <v>2224</v>
      </c>
      <c r="E806" s="701" t="s">
        <v>8686</v>
      </c>
      <c r="F806" s="566">
        <v>1</v>
      </c>
      <c r="G806" s="662">
        <v>31139.13487147227</v>
      </c>
      <c r="H806" s="662">
        <v>32317.992974309644</v>
      </c>
      <c r="I806" s="662">
        <v>33558.916098083741</v>
      </c>
      <c r="J806" s="662">
        <v>34865.15841182541</v>
      </c>
      <c r="K806" s="566" t="s">
        <v>1184</v>
      </c>
      <c r="L806" s="549"/>
      <c r="M806" s="540"/>
      <c r="S806" s="550"/>
      <c r="T806" s="547"/>
      <c r="U806" s="547"/>
      <c r="V806" s="547"/>
      <c r="W806" s="549"/>
    </row>
    <row r="807" spans="1:23">
      <c r="A807" s="565">
        <v>1501</v>
      </c>
      <c r="B807" s="695" t="s">
        <v>6214</v>
      </c>
      <c r="C807" s="566">
        <f t="shared" si="12"/>
        <v>1501</v>
      </c>
      <c r="D807" s="699" t="s">
        <v>2224</v>
      </c>
      <c r="E807" s="701" t="s">
        <v>8687</v>
      </c>
      <c r="F807" s="567">
        <v>1</v>
      </c>
      <c r="G807" s="662">
        <v>28788.983729972831</v>
      </c>
      <c r="H807" s="662">
        <v>29931.71584038049</v>
      </c>
      <c r="I807" s="662">
        <v>31074.447950788137</v>
      </c>
      <c r="J807" s="662">
        <v>32277.311445461972</v>
      </c>
      <c r="K807" s="568" t="s">
        <v>1185</v>
      </c>
      <c r="L807" s="549"/>
      <c r="M807" s="540"/>
      <c r="S807" s="550"/>
      <c r="T807" s="547"/>
      <c r="U807" s="547"/>
      <c r="V807" s="547"/>
      <c r="W807" s="549"/>
    </row>
    <row r="808" spans="1:23">
      <c r="A808" s="565">
        <v>1502</v>
      </c>
      <c r="B808" s="696" t="s">
        <v>6215</v>
      </c>
      <c r="C808" s="566">
        <f t="shared" si="12"/>
        <v>1502</v>
      </c>
      <c r="D808" s="700" t="s">
        <v>2224</v>
      </c>
      <c r="E808" s="701" t="s">
        <v>8688</v>
      </c>
      <c r="F808" s="566">
        <v>2</v>
      </c>
      <c r="G808" s="662">
        <v>17222.347246332756</v>
      </c>
      <c r="H808" s="662">
        <v>17807.542037311094</v>
      </c>
      <c r="I808" s="662">
        <v>18423.565145196386</v>
      </c>
      <c r="J808" s="662">
        <v>19072.00099156241</v>
      </c>
      <c r="K808" s="566" t="s">
        <v>1186</v>
      </c>
      <c r="L808" s="549"/>
      <c r="M808" s="540"/>
      <c r="S808" s="550"/>
      <c r="T808" s="547"/>
      <c r="U808" s="547"/>
      <c r="V808" s="547"/>
      <c r="W808" s="549"/>
    </row>
    <row r="809" spans="1:23">
      <c r="A809" s="565">
        <v>1503</v>
      </c>
      <c r="B809" s="696" t="s">
        <v>6216</v>
      </c>
      <c r="C809" s="566">
        <f t="shared" si="12"/>
        <v>1503</v>
      </c>
      <c r="D809" s="700" t="s">
        <v>2224</v>
      </c>
      <c r="E809" s="701" t="s">
        <v>8689</v>
      </c>
      <c r="F809" s="566">
        <v>2</v>
      </c>
      <c r="G809" s="662">
        <v>16036.577205995898</v>
      </c>
      <c r="H809" s="662">
        <v>16595.106610742201</v>
      </c>
      <c r="I809" s="662">
        <v>17183.059588214754</v>
      </c>
      <c r="J809" s="662">
        <v>17801.948363149855</v>
      </c>
      <c r="K809" s="566" t="s">
        <v>1187</v>
      </c>
      <c r="L809" s="549"/>
      <c r="M809" s="540"/>
      <c r="S809" s="550"/>
      <c r="T809" s="547"/>
      <c r="U809" s="547"/>
      <c r="V809" s="547"/>
      <c r="W809" s="549"/>
    </row>
    <row r="810" spans="1:23">
      <c r="A810" s="565">
        <v>1504</v>
      </c>
      <c r="B810" s="696" t="s">
        <v>6217</v>
      </c>
      <c r="C810" s="566">
        <f t="shared" si="12"/>
        <v>1504</v>
      </c>
      <c r="D810" s="700" t="s">
        <v>2224</v>
      </c>
      <c r="E810" s="701" t="s">
        <v>8690</v>
      </c>
      <c r="F810" s="566">
        <v>2</v>
      </c>
      <c r="G810" s="662">
        <v>17222.347246332756</v>
      </c>
      <c r="H810" s="662">
        <v>17807.542037311094</v>
      </c>
      <c r="I810" s="662">
        <v>18423.565145196386</v>
      </c>
      <c r="J810" s="662">
        <v>19072.00099156241</v>
      </c>
      <c r="K810" s="566" t="s">
        <v>1188</v>
      </c>
      <c r="L810" s="549"/>
      <c r="M810" s="540"/>
      <c r="S810" s="550"/>
      <c r="T810" s="547"/>
      <c r="U810" s="547"/>
      <c r="V810" s="547"/>
      <c r="W810" s="549"/>
    </row>
    <row r="811" spans="1:23">
      <c r="A811" s="565">
        <v>1505</v>
      </c>
      <c r="B811" s="696" t="s">
        <v>6218</v>
      </c>
      <c r="C811" s="566">
        <f t="shared" si="12"/>
        <v>1505</v>
      </c>
      <c r="D811" s="700" t="s">
        <v>2224</v>
      </c>
      <c r="E811" s="701" t="s">
        <v>8691</v>
      </c>
      <c r="F811" s="566">
        <v>2</v>
      </c>
      <c r="G811" s="662">
        <v>13434.567609119771</v>
      </c>
      <c r="H811" s="662">
        <v>13852.402212719215</v>
      </c>
      <c r="I811" s="662">
        <v>14292.237641600281</v>
      </c>
      <c r="J811" s="662">
        <v>14755.205625458515</v>
      </c>
      <c r="K811" s="566" t="s">
        <v>1189</v>
      </c>
      <c r="L811" s="549"/>
      <c r="M811" s="540"/>
      <c r="S811" s="550"/>
      <c r="T811" s="547"/>
      <c r="U811" s="547"/>
      <c r="V811" s="547"/>
      <c r="W811" s="549"/>
    </row>
    <row r="812" spans="1:23">
      <c r="A812" s="565">
        <v>1506</v>
      </c>
      <c r="B812" s="696" t="s">
        <v>6219</v>
      </c>
      <c r="C812" s="566">
        <f t="shared" si="12"/>
        <v>1506</v>
      </c>
      <c r="D812" s="700" t="s">
        <v>2224</v>
      </c>
      <c r="E812" s="701" t="s">
        <v>8692</v>
      </c>
      <c r="F812" s="566">
        <v>2</v>
      </c>
      <c r="G812" s="662">
        <v>13434.567609119771</v>
      </c>
      <c r="H812" s="662">
        <v>13852.402212719215</v>
      </c>
      <c r="I812" s="662">
        <v>14292.237641600281</v>
      </c>
      <c r="J812" s="662">
        <v>14755.205625458515</v>
      </c>
      <c r="K812" s="566" t="s">
        <v>1190</v>
      </c>
      <c r="L812" s="549"/>
      <c r="M812" s="540"/>
      <c r="S812" s="550"/>
      <c r="T812" s="547"/>
      <c r="U812" s="547"/>
      <c r="V812" s="547"/>
      <c r="W812" s="549"/>
    </row>
    <row r="813" spans="1:23">
      <c r="A813" s="565">
        <v>1507</v>
      </c>
      <c r="B813" s="696" t="s">
        <v>6220</v>
      </c>
      <c r="C813" s="566">
        <f t="shared" si="12"/>
        <v>1507</v>
      </c>
      <c r="D813" s="700" t="s">
        <v>2224</v>
      </c>
      <c r="E813" s="701" t="s">
        <v>8693</v>
      </c>
      <c r="F813" s="566">
        <v>2</v>
      </c>
      <c r="G813" s="662">
        <v>0</v>
      </c>
      <c r="H813" s="662">
        <v>0</v>
      </c>
      <c r="I813" s="662">
        <v>0</v>
      </c>
      <c r="J813" s="662">
        <v>31885.262410397798</v>
      </c>
      <c r="K813" s="566" t="s">
        <v>4744</v>
      </c>
      <c r="L813" s="549"/>
      <c r="M813" s="540"/>
      <c r="S813" s="550"/>
      <c r="T813" s="547"/>
      <c r="U813" s="547"/>
      <c r="V813" s="547"/>
      <c r="W813" s="549"/>
    </row>
    <row r="814" spans="1:23">
      <c r="A814" s="565">
        <v>1508</v>
      </c>
      <c r="B814" s="696" t="s">
        <v>6221</v>
      </c>
      <c r="C814" s="566">
        <f t="shared" si="12"/>
        <v>1508</v>
      </c>
      <c r="D814" s="700" t="s">
        <v>2224</v>
      </c>
      <c r="E814" s="701" t="s">
        <v>8694</v>
      </c>
      <c r="F814" s="566">
        <v>2</v>
      </c>
      <c r="G814" s="662">
        <v>16699.521490069554</v>
      </c>
      <c r="H814" s="662">
        <v>17256.875730537198</v>
      </c>
      <c r="I814" s="662">
        <v>17843.564404713667</v>
      </c>
      <c r="J814" s="662">
        <v>18461.126664984913</v>
      </c>
      <c r="K814" s="566" t="s">
        <v>1191</v>
      </c>
      <c r="L814" s="549"/>
      <c r="M814" s="540"/>
      <c r="S814" s="550"/>
      <c r="T814" s="547"/>
      <c r="U814" s="547"/>
      <c r="V814" s="547"/>
      <c r="W814" s="549"/>
    </row>
    <row r="815" spans="1:23">
      <c r="A815" s="565">
        <v>1509</v>
      </c>
      <c r="B815" s="696" t="s">
        <v>6222</v>
      </c>
      <c r="C815" s="566">
        <f t="shared" si="12"/>
        <v>1509</v>
      </c>
      <c r="D815" s="700" t="s">
        <v>2224</v>
      </c>
      <c r="E815" s="701" t="s">
        <v>8695</v>
      </c>
      <c r="F815" s="566">
        <v>2</v>
      </c>
      <c r="G815" s="662">
        <v>17895.272314291225</v>
      </c>
      <c r="H815" s="662">
        <v>18497.759935017664</v>
      </c>
      <c r="I815" s="662">
        <v>19131.935987219676</v>
      </c>
      <c r="J815" s="662">
        <v>19799.520700034522</v>
      </c>
      <c r="K815" s="566" t="s">
        <v>1192</v>
      </c>
      <c r="L815" s="549"/>
      <c r="M815" s="540"/>
      <c r="S815" s="550"/>
      <c r="T815" s="547"/>
      <c r="U815" s="547"/>
      <c r="V815" s="547"/>
      <c r="W815" s="549"/>
    </row>
    <row r="816" spans="1:23">
      <c r="A816" s="565">
        <v>1510</v>
      </c>
      <c r="B816" s="696" t="s">
        <v>6223</v>
      </c>
      <c r="C816" s="566">
        <f t="shared" si="12"/>
        <v>1510</v>
      </c>
      <c r="D816" s="700" t="s">
        <v>2224</v>
      </c>
      <c r="E816" s="701" t="s">
        <v>8696</v>
      </c>
      <c r="F816" s="566">
        <v>2</v>
      </c>
      <c r="G816" s="662">
        <v>17403.906028408135</v>
      </c>
      <c r="H816" s="662">
        <v>17991.364278777586</v>
      </c>
      <c r="I816" s="662">
        <v>18609.696115241812</v>
      </c>
      <c r="J816" s="662">
        <v>19260.62176693806</v>
      </c>
      <c r="K816" s="566" t="s">
        <v>1193</v>
      </c>
      <c r="L816" s="549"/>
      <c r="M816" s="540"/>
      <c r="S816" s="550"/>
      <c r="T816" s="547"/>
      <c r="U816" s="547"/>
      <c r="V816" s="547"/>
      <c r="W816" s="549"/>
    </row>
    <row r="817" spans="1:23">
      <c r="A817" s="565">
        <v>1511</v>
      </c>
      <c r="B817" s="696" t="s">
        <v>6224</v>
      </c>
      <c r="C817" s="566">
        <f t="shared" si="12"/>
        <v>1511</v>
      </c>
      <c r="D817" s="700" t="s">
        <v>2224</v>
      </c>
      <c r="E817" s="701" t="s">
        <v>8697</v>
      </c>
      <c r="F817" s="566">
        <v>2</v>
      </c>
      <c r="G817" s="662">
        <v>18712.610234856362</v>
      </c>
      <c r="H817" s="662">
        <v>19315.14312477062</v>
      </c>
      <c r="I817" s="662">
        <v>19949.364446160464</v>
      </c>
      <c r="J817" s="662">
        <v>20616.994428163125</v>
      </c>
      <c r="K817" s="566" t="s">
        <v>1194</v>
      </c>
      <c r="L817" s="549"/>
      <c r="M817" s="540"/>
      <c r="S817" s="550"/>
      <c r="T817" s="547"/>
      <c r="U817" s="547"/>
      <c r="V817" s="547"/>
      <c r="W817" s="549"/>
    </row>
    <row r="818" spans="1:23">
      <c r="A818" s="565">
        <v>1512</v>
      </c>
      <c r="B818" s="696" t="s">
        <v>6225</v>
      </c>
      <c r="C818" s="566">
        <f t="shared" si="12"/>
        <v>1512</v>
      </c>
      <c r="D818" s="700" t="s">
        <v>2224</v>
      </c>
      <c r="E818" s="701" t="s">
        <v>8698</v>
      </c>
      <c r="F818" s="566">
        <v>2</v>
      </c>
      <c r="G818" s="662">
        <v>0</v>
      </c>
      <c r="H818" s="662">
        <v>0</v>
      </c>
      <c r="I818" s="662">
        <v>21367.905898065248</v>
      </c>
      <c r="J818" s="662">
        <v>22106.24635144628</v>
      </c>
      <c r="K818" s="566" t="s">
        <v>3997</v>
      </c>
      <c r="L818" s="549"/>
      <c r="M818" s="540"/>
      <c r="S818" s="550"/>
      <c r="T818" s="547"/>
      <c r="U818" s="547"/>
      <c r="V818" s="547"/>
      <c r="W818" s="549"/>
    </row>
    <row r="819" spans="1:23">
      <c r="A819" s="565">
        <v>1513</v>
      </c>
      <c r="B819" s="696" t="s">
        <v>6226</v>
      </c>
      <c r="C819" s="566">
        <f t="shared" si="12"/>
        <v>1513</v>
      </c>
      <c r="D819" s="700" t="s">
        <v>2224</v>
      </c>
      <c r="E819" s="701" t="s">
        <v>8699</v>
      </c>
      <c r="F819" s="566">
        <v>2</v>
      </c>
      <c r="G819" s="662">
        <v>0</v>
      </c>
      <c r="H819" s="662">
        <v>0</v>
      </c>
      <c r="I819" s="662">
        <v>22871.936746757099</v>
      </c>
      <c r="J819" s="662">
        <v>23672.97502527196</v>
      </c>
      <c r="K819" s="566" t="s">
        <v>3998</v>
      </c>
      <c r="L819" s="549"/>
      <c r="M819" s="540"/>
      <c r="S819" s="550"/>
      <c r="T819" s="547"/>
      <c r="U819" s="547"/>
      <c r="V819" s="547"/>
      <c r="W819" s="549"/>
    </row>
    <row r="820" spans="1:23">
      <c r="A820" s="565">
        <v>1514</v>
      </c>
      <c r="B820" s="696" t="s">
        <v>6227</v>
      </c>
      <c r="C820" s="566">
        <f t="shared" si="12"/>
        <v>1514</v>
      </c>
      <c r="D820" s="700" t="s">
        <v>2224</v>
      </c>
      <c r="E820" s="701" t="s">
        <v>8700</v>
      </c>
      <c r="F820" s="566">
        <v>2</v>
      </c>
      <c r="G820" s="662">
        <v>20307.619209653622</v>
      </c>
      <c r="H820" s="662">
        <v>20973.981654397267</v>
      </c>
      <c r="I820" s="662">
        <v>21675.427719703162</v>
      </c>
      <c r="J820" s="662">
        <v>22413.768173084194</v>
      </c>
      <c r="K820" s="566" t="s">
        <v>1195</v>
      </c>
      <c r="L820" s="549"/>
      <c r="M820" s="540"/>
      <c r="S820" s="550"/>
      <c r="T820" s="547"/>
      <c r="U820" s="547"/>
      <c r="V820" s="547"/>
      <c r="W820" s="549"/>
    </row>
    <row r="821" spans="1:23">
      <c r="A821" s="565">
        <v>1515</v>
      </c>
      <c r="B821" s="696" t="s">
        <v>6228</v>
      </c>
      <c r="C821" s="566">
        <f t="shared" si="12"/>
        <v>1515</v>
      </c>
      <c r="D821" s="700" t="s">
        <v>2224</v>
      </c>
      <c r="E821" s="701" t="s">
        <v>8701</v>
      </c>
      <c r="F821" s="566">
        <v>2</v>
      </c>
      <c r="G821" s="662">
        <v>0</v>
      </c>
      <c r="H821" s="662">
        <v>0</v>
      </c>
      <c r="I821" s="662">
        <v>23224.86817334544</v>
      </c>
      <c r="J821" s="662">
        <v>24040.618937902535</v>
      </c>
      <c r="K821" s="566" t="s">
        <v>3999</v>
      </c>
      <c r="L821" s="549"/>
      <c r="M821" s="540"/>
      <c r="S821" s="550"/>
      <c r="T821" s="547"/>
      <c r="U821" s="547"/>
      <c r="V821" s="547"/>
      <c r="W821" s="549"/>
    </row>
    <row r="822" spans="1:23">
      <c r="A822" s="565">
        <v>1516</v>
      </c>
      <c r="B822" s="696" t="s">
        <v>6229</v>
      </c>
      <c r="C822" s="566">
        <f t="shared" si="12"/>
        <v>1516</v>
      </c>
      <c r="D822" s="700" t="s">
        <v>2224</v>
      </c>
      <c r="E822" s="701" t="s">
        <v>8702</v>
      </c>
      <c r="F822" s="566">
        <v>2</v>
      </c>
      <c r="G822" s="662">
        <v>0</v>
      </c>
      <c r="H822" s="662">
        <v>0</v>
      </c>
      <c r="I822" s="662">
        <v>24663.742450974827</v>
      </c>
      <c r="J822" s="662">
        <v>25539.474889396413</v>
      </c>
      <c r="K822" s="566" t="s">
        <v>4000</v>
      </c>
      <c r="L822" s="549"/>
      <c r="M822" s="540"/>
      <c r="S822" s="550"/>
      <c r="T822" s="547"/>
      <c r="U822" s="547"/>
      <c r="V822" s="547"/>
      <c r="W822" s="549"/>
    </row>
    <row r="823" spans="1:23">
      <c r="A823" s="565">
        <v>1517</v>
      </c>
      <c r="B823" s="696" t="s">
        <v>6230</v>
      </c>
      <c r="C823" s="566">
        <f t="shared" si="12"/>
        <v>1517</v>
      </c>
      <c r="D823" s="700" t="s">
        <v>2224</v>
      </c>
      <c r="E823" s="701" t="s">
        <v>8703</v>
      </c>
      <c r="F823" s="566">
        <v>2</v>
      </c>
      <c r="G823" s="662">
        <v>26663.58538115066</v>
      </c>
      <c r="H823" s="662">
        <v>27580.965472368731</v>
      </c>
      <c r="I823" s="662">
        <v>28546.647786993144</v>
      </c>
      <c r="J823" s="662">
        <v>29563.122130354135</v>
      </c>
      <c r="K823" s="566" t="s">
        <v>1196</v>
      </c>
      <c r="L823" s="549"/>
      <c r="M823" s="540"/>
      <c r="S823" s="550"/>
      <c r="T823" s="547"/>
      <c r="U823" s="547"/>
      <c r="V823" s="547"/>
      <c r="W823" s="549"/>
    </row>
    <row r="824" spans="1:23">
      <c r="A824" s="565">
        <v>1518</v>
      </c>
      <c r="B824" s="696" t="s">
        <v>6231</v>
      </c>
      <c r="C824" s="566">
        <f t="shared" si="12"/>
        <v>1518</v>
      </c>
      <c r="D824" s="700" t="s">
        <v>2224</v>
      </c>
      <c r="E824" s="701" t="s">
        <v>8704</v>
      </c>
      <c r="F824" s="566">
        <v>2</v>
      </c>
      <c r="G824" s="662">
        <v>27659.051975350369</v>
      </c>
      <c r="H824" s="662">
        <v>28616.268951852024</v>
      </c>
      <c r="I824" s="662">
        <v>29623.870534399855</v>
      </c>
      <c r="J824" s="662">
        <v>30684.482335887544</v>
      </c>
      <c r="K824" s="566" t="s">
        <v>1197</v>
      </c>
      <c r="L824" s="549"/>
      <c r="M824" s="540"/>
      <c r="S824" s="550"/>
      <c r="T824" s="547"/>
      <c r="U824" s="547"/>
      <c r="V824" s="547"/>
      <c r="W824" s="549"/>
    </row>
    <row r="825" spans="1:23">
      <c r="A825" s="565">
        <v>1519</v>
      </c>
      <c r="B825" s="696" t="s">
        <v>6232</v>
      </c>
      <c r="C825" s="566">
        <f t="shared" si="12"/>
        <v>1519</v>
      </c>
      <c r="D825" s="700" t="s">
        <v>2224</v>
      </c>
      <c r="E825" s="701" t="s">
        <v>8705</v>
      </c>
      <c r="F825" s="566">
        <v>2</v>
      </c>
      <c r="G825" s="662">
        <v>18207.759889136782</v>
      </c>
      <c r="H825" s="662">
        <v>18817.173695600024</v>
      </c>
      <c r="I825" s="662">
        <v>19458.683356229249</v>
      </c>
      <c r="J825" s="662">
        <v>20133.963830973877</v>
      </c>
      <c r="K825" s="566" t="s">
        <v>1198</v>
      </c>
      <c r="L825" s="549"/>
      <c r="M825" s="540"/>
      <c r="S825" s="550"/>
      <c r="T825" s="547"/>
      <c r="U825" s="547"/>
      <c r="V825" s="547"/>
      <c r="W825" s="549"/>
    </row>
    <row r="826" spans="1:23">
      <c r="A826" s="565">
        <v>1520</v>
      </c>
      <c r="B826" s="696" t="s">
        <v>6233</v>
      </c>
      <c r="C826" s="566">
        <f t="shared" si="12"/>
        <v>1520</v>
      </c>
      <c r="D826" s="700" t="s">
        <v>2224</v>
      </c>
      <c r="E826" s="701" t="s">
        <v>8706</v>
      </c>
      <c r="F826" s="566">
        <v>2</v>
      </c>
      <c r="G826" s="662">
        <v>0</v>
      </c>
      <c r="H826" s="662">
        <v>18316.406486639902</v>
      </c>
      <c r="I826" s="662">
        <v>18895.354129698768</v>
      </c>
      <c r="J826" s="662">
        <v>0</v>
      </c>
      <c r="K826" s="566" t="s">
        <v>4001</v>
      </c>
      <c r="L826" s="549"/>
      <c r="M826" s="540"/>
      <c r="S826" s="550"/>
      <c r="T826" s="547"/>
      <c r="U826" s="547"/>
      <c r="V826" s="547"/>
      <c r="W826" s="549"/>
    </row>
    <row r="827" spans="1:23">
      <c r="A827" s="565">
        <v>1521</v>
      </c>
      <c r="B827" s="696" t="s">
        <v>6234</v>
      </c>
      <c r="C827" s="566">
        <f t="shared" si="12"/>
        <v>1521</v>
      </c>
      <c r="D827" s="700" t="s">
        <v>2224</v>
      </c>
      <c r="E827" s="701" t="s">
        <v>8707</v>
      </c>
      <c r="F827" s="566">
        <v>2</v>
      </c>
      <c r="G827" s="662">
        <v>20782.728265976213</v>
      </c>
      <c r="H827" s="662">
        <v>21468.103769605204</v>
      </c>
      <c r="I827" s="662">
        <v>22189.513546740716</v>
      </c>
      <c r="J827" s="662">
        <v>22948.949441646921</v>
      </c>
      <c r="K827" s="566" t="s">
        <v>1199</v>
      </c>
      <c r="L827" s="549"/>
      <c r="M827" s="540"/>
      <c r="S827" s="550"/>
      <c r="T827" s="547"/>
      <c r="U827" s="547"/>
      <c r="V827" s="547"/>
      <c r="W827" s="549"/>
    </row>
    <row r="828" spans="1:23">
      <c r="A828" s="565">
        <v>1522</v>
      </c>
      <c r="B828" s="696" t="s">
        <v>6235</v>
      </c>
      <c r="C828" s="566">
        <f t="shared" si="12"/>
        <v>1522</v>
      </c>
      <c r="D828" s="700" t="s">
        <v>2224</v>
      </c>
      <c r="E828" s="701" t="s">
        <v>8708</v>
      </c>
      <c r="F828" s="566">
        <v>2</v>
      </c>
      <c r="G828" s="662">
        <v>17222.347246332756</v>
      </c>
      <c r="H828" s="662">
        <v>17807.542037311094</v>
      </c>
      <c r="I828" s="662">
        <v>18423.565145196386</v>
      </c>
      <c r="J828" s="662">
        <v>19072.00099156241</v>
      </c>
      <c r="K828" s="566" t="s">
        <v>1200</v>
      </c>
      <c r="L828" s="549"/>
      <c r="M828" s="540"/>
      <c r="S828" s="550"/>
      <c r="T828" s="547"/>
      <c r="U828" s="547"/>
      <c r="V828" s="547"/>
      <c r="W828" s="549"/>
    </row>
    <row r="829" spans="1:23">
      <c r="A829" s="565">
        <v>1523</v>
      </c>
      <c r="B829" s="696" t="s">
        <v>6236</v>
      </c>
      <c r="C829" s="566">
        <f t="shared" si="12"/>
        <v>1523</v>
      </c>
      <c r="D829" s="700" t="s">
        <v>2224</v>
      </c>
      <c r="E829" s="701" t="s">
        <v>8709</v>
      </c>
      <c r="F829" s="566">
        <v>2</v>
      </c>
      <c r="G829" s="662">
        <v>17222.347246332756</v>
      </c>
      <c r="H829" s="662">
        <v>17807.542037311094</v>
      </c>
      <c r="I829" s="662">
        <v>18423.565145196386</v>
      </c>
      <c r="J829" s="662">
        <v>19072.00099156241</v>
      </c>
      <c r="K829" s="566" t="s">
        <v>1201</v>
      </c>
      <c r="L829" s="549"/>
      <c r="M829" s="540"/>
      <c r="S829" s="550"/>
      <c r="T829" s="547"/>
      <c r="U829" s="547"/>
      <c r="V829" s="547"/>
      <c r="W829" s="549"/>
    </row>
    <row r="830" spans="1:23">
      <c r="A830" s="565">
        <v>1524</v>
      </c>
      <c r="B830" s="696" t="s">
        <v>6237</v>
      </c>
      <c r="C830" s="566">
        <f t="shared" si="12"/>
        <v>1524</v>
      </c>
      <c r="D830" s="700" t="s">
        <v>2224</v>
      </c>
      <c r="E830" s="701" t="s">
        <v>8710</v>
      </c>
      <c r="F830" s="566">
        <v>2</v>
      </c>
      <c r="G830" s="662">
        <v>16086.344258000889</v>
      </c>
      <c r="H830" s="662">
        <v>16617.487638719445</v>
      </c>
      <c r="I830" s="662">
        <v>17176.607377512162</v>
      </c>
      <c r="J830" s="662">
        <v>17765.152088389339</v>
      </c>
      <c r="K830" s="566" t="s">
        <v>1202</v>
      </c>
      <c r="L830" s="549"/>
      <c r="M830" s="540"/>
      <c r="S830" s="550"/>
      <c r="T830" s="547"/>
      <c r="U830" s="547"/>
      <c r="V830" s="547"/>
      <c r="W830" s="549"/>
    </row>
    <row r="831" spans="1:23">
      <c r="A831" s="565">
        <v>1525</v>
      </c>
      <c r="B831" s="696" t="s">
        <v>6238</v>
      </c>
      <c r="C831" s="566">
        <f t="shared" si="12"/>
        <v>1525</v>
      </c>
      <c r="D831" s="700" t="s">
        <v>2224</v>
      </c>
      <c r="E831" s="701" t="s">
        <v>8711</v>
      </c>
      <c r="F831" s="566">
        <v>2</v>
      </c>
      <c r="G831" s="662">
        <v>34364.412010741777</v>
      </c>
      <c r="H831" s="662">
        <v>35589.656134965553</v>
      </c>
      <c r="I831" s="662">
        <v>36879.4082351377</v>
      </c>
      <c r="J831" s="662">
        <v>38237.018199132057</v>
      </c>
      <c r="K831" s="566" t="s">
        <v>1203</v>
      </c>
      <c r="L831" s="549"/>
      <c r="M831" s="540"/>
      <c r="S831" s="550"/>
      <c r="T831" s="547"/>
      <c r="U831" s="547"/>
      <c r="V831" s="547"/>
      <c r="W831" s="549"/>
    </row>
    <row r="832" spans="1:23">
      <c r="A832" s="565">
        <v>1526</v>
      </c>
      <c r="B832" s="696" t="s">
        <v>6239</v>
      </c>
      <c r="C832" s="566">
        <f t="shared" si="12"/>
        <v>1526</v>
      </c>
      <c r="D832" s="700" t="s">
        <v>2224</v>
      </c>
      <c r="E832" s="701" t="s">
        <v>8712</v>
      </c>
      <c r="F832" s="566">
        <v>2</v>
      </c>
      <c r="G832" s="662">
        <v>21154.002599601012</v>
      </c>
      <c r="H832" s="662">
        <v>21908.821037349346</v>
      </c>
      <c r="I832" s="662">
        <v>22703.340552817808</v>
      </c>
      <c r="J832" s="662">
        <v>23539.688797834035</v>
      </c>
      <c r="K832" s="566" t="s">
        <v>1204</v>
      </c>
      <c r="L832" s="549"/>
      <c r="M832" s="540"/>
      <c r="S832" s="550"/>
      <c r="T832" s="547"/>
      <c r="U832" s="547"/>
      <c r="V832" s="547"/>
      <c r="W832" s="549"/>
    </row>
    <row r="833" spans="1:23">
      <c r="A833" s="565">
        <v>1527</v>
      </c>
      <c r="B833" s="696" t="s">
        <v>6240</v>
      </c>
      <c r="C833" s="566">
        <f t="shared" si="12"/>
        <v>1527</v>
      </c>
      <c r="D833" s="700" t="s">
        <v>2224</v>
      </c>
      <c r="E833" s="701" t="s">
        <v>8713</v>
      </c>
      <c r="F833" s="566">
        <v>2</v>
      </c>
      <c r="G833" s="662">
        <v>13185.993256191674</v>
      </c>
      <c r="H833" s="662">
        <v>13593.234869840708</v>
      </c>
      <c r="I833" s="662">
        <v>14021.888809329675</v>
      </c>
      <c r="J833" s="662">
        <v>14473.086804354125</v>
      </c>
      <c r="K833" s="566" t="s">
        <v>1205</v>
      </c>
      <c r="L833" s="549"/>
      <c r="M833" s="540"/>
      <c r="S833" s="550"/>
      <c r="T833" s="547"/>
      <c r="U833" s="547"/>
      <c r="V833" s="547"/>
      <c r="W833" s="549"/>
    </row>
    <row r="834" spans="1:23">
      <c r="A834" s="565">
        <v>1528</v>
      </c>
      <c r="B834" s="696" t="s">
        <v>6241</v>
      </c>
      <c r="C834" s="566">
        <f t="shared" si="12"/>
        <v>1528</v>
      </c>
      <c r="D834" s="700" t="s">
        <v>2224</v>
      </c>
      <c r="E834" s="701" t="s">
        <v>8714</v>
      </c>
      <c r="F834" s="566">
        <v>2</v>
      </c>
      <c r="G834" s="662">
        <v>28734.327260445167</v>
      </c>
      <c r="H834" s="662">
        <v>29799.953754357368</v>
      </c>
      <c r="I834" s="662">
        <v>30921.668235778376</v>
      </c>
      <c r="J834" s="662">
        <v>32102.458442541585</v>
      </c>
      <c r="K834" s="566" t="s">
        <v>1206</v>
      </c>
      <c r="L834" s="549"/>
      <c r="M834" s="540"/>
      <c r="S834" s="550"/>
      <c r="T834" s="547"/>
      <c r="U834" s="547"/>
      <c r="V834" s="547"/>
      <c r="W834" s="549"/>
    </row>
    <row r="835" spans="1:23">
      <c r="A835" s="565">
        <v>1529</v>
      </c>
      <c r="B835" s="696" t="s">
        <v>6242</v>
      </c>
      <c r="C835" s="566">
        <f t="shared" si="12"/>
        <v>1529</v>
      </c>
      <c r="D835" s="700" t="s">
        <v>2224</v>
      </c>
      <c r="E835" s="701" t="s">
        <v>8715</v>
      </c>
      <c r="F835" s="566">
        <v>2</v>
      </c>
      <c r="G835" s="662">
        <v>28734.327260445167</v>
      </c>
      <c r="H835" s="662">
        <v>29799.953754357368</v>
      </c>
      <c r="I835" s="662">
        <v>30921.668235778376</v>
      </c>
      <c r="J835" s="662">
        <v>32102.458442541585</v>
      </c>
      <c r="K835" s="566" t="s">
        <v>1207</v>
      </c>
      <c r="L835" s="549"/>
      <c r="M835" s="540"/>
      <c r="S835" s="550"/>
      <c r="T835" s="547"/>
      <c r="U835" s="547"/>
      <c r="V835" s="547"/>
      <c r="W835" s="549"/>
    </row>
    <row r="836" spans="1:23">
      <c r="A836" s="565">
        <v>1530</v>
      </c>
      <c r="B836" s="696" t="s">
        <v>6243</v>
      </c>
      <c r="C836" s="566">
        <f t="shared" si="12"/>
        <v>1530</v>
      </c>
      <c r="D836" s="700" t="s">
        <v>2224</v>
      </c>
      <c r="E836" s="701" t="s">
        <v>8716</v>
      </c>
      <c r="F836" s="566">
        <v>2</v>
      </c>
      <c r="G836" s="662">
        <v>17403.906028408135</v>
      </c>
      <c r="H836" s="662">
        <v>17991.364278777586</v>
      </c>
      <c r="I836" s="662">
        <v>18609.741384429632</v>
      </c>
      <c r="J836" s="662">
        <v>19260.667036125884</v>
      </c>
      <c r="K836" s="566" t="s">
        <v>1208</v>
      </c>
      <c r="L836" s="549"/>
      <c r="M836" s="540"/>
      <c r="S836" s="550"/>
      <c r="T836" s="547"/>
      <c r="U836" s="547"/>
      <c r="V836" s="547"/>
      <c r="W836" s="549"/>
    </row>
    <row r="837" spans="1:23">
      <c r="A837" s="565">
        <v>1531</v>
      </c>
      <c r="B837" s="696" t="s">
        <v>6244</v>
      </c>
      <c r="C837" s="566">
        <f t="shared" si="12"/>
        <v>1531</v>
      </c>
      <c r="D837" s="700" t="s">
        <v>2224</v>
      </c>
      <c r="E837" s="701" t="s">
        <v>8717</v>
      </c>
      <c r="F837" s="566">
        <v>2</v>
      </c>
      <c r="G837" s="662">
        <v>18699.899877379859</v>
      </c>
      <c r="H837" s="662">
        <v>19348.833684811932</v>
      </c>
      <c r="I837" s="662">
        <v>20031.945729049814</v>
      </c>
      <c r="J837" s="662">
        <v>20751.001508418565</v>
      </c>
      <c r="K837" s="566" t="s">
        <v>1209</v>
      </c>
      <c r="L837" s="549"/>
      <c r="M837" s="540"/>
      <c r="S837" s="550"/>
      <c r="T837" s="547"/>
      <c r="U837" s="547"/>
      <c r="V837" s="547"/>
      <c r="W837" s="549"/>
    </row>
    <row r="838" spans="1:23">
      <c r="A838" s="565">
        <v>1532</v>
      </c>
      <c r="B838" s="696" t="s">
        <v>6245</v>
      </c>
      <c r="C838" s="566">
        <f t="shared" si="12"/>
        <v>1532</v>
      </c>
      <c r="D838" s="700" t="s">
        <v>2224</v>
      </c>
      <c r="E838" s="701" t="s">
        <v>8718</v>
      </c>
      <c r="F838" s="566">
        <v>2</v>
      </c>
      <c r="G838" s="662">
        <v>18738.120906882006</v>
      </c>
      <c r="H838" s="662">
        <v>19382.573064719672</v>
      </c>
      <c r="I838" s="662">
        <v>20060.97711342404</v>
      </c>
      <c r="J838" s="662">
        <v>20775.053282132343</v>
      </c>
      <c r="K838" s="566" t="s">
        <v>1210</v>
      </c>
      <c r="L838" s="549"/>
      <c r="M838" s="540"/>
      <c r="S838" s="550"/>
      <c r="T838" s="547"/>
      <c r="U838" s="547"/>
      <c r="V838" s="547"/>
      <c r="W838" s="549"/>
    </row>
    <row r="839" spans="1:23">
      <c r="A839" s="565">
        <v>1533</v>
      </c>
      <c r="B839" s="696" t="s">
        <v>6246</v>
      </c>
      <c r="C839" s="566">
        <f t="shared" si="12"/>
        <v>1533</v>
      </c>
      <c r="D839" s="700" t="s">
        <v>2224</v>
      </c>
      <c r="E839" s="701" t="s">
        <v>8719</v>
      </c>
      <c r="F839" s="566">
        <v>2</v>
      </c>
      <c r="G839" s="662">
        <v>17403.906028408135</v>
      </c>
      <c r="H839" s="662">
        <v>17991.364278777586</v>
      </c>
      <c r="I839" s="662">
        <v>18609.741384429632</v>
      </c>
      <c r="J839" s="662">
        <v>19260.667036125884</v>
      </c>
      <c r="K839" s="566" t="s">
        <v>1211</v>
      </c>
      <c r="L839" s="549"/>
      <c r="M839" s="540"/>
      <c r="S839" s="550"/>
      <c r="T839" s="547"/>
      <c r="U839" s="547"/>
      <c r="V839" s="547"/>
      <c r="W839" s="549"/>
    </row>
    <row r="840" spans="1:23">
      <c r="A840" s="565">
        <v>1534</v>
      </c>
      <c r="B840" s="696" t="s">
        <v>6247</v>
      </c>
      <c r="C840" s="566">
        <f t="shared" si="12"/>
        <v>1534</v>
      </c>
      <c r="D840" s="700" t="s">
        <v>2224</v>
      </c>
      <c r="E840" s="701" t="s">
        <v>8720</v>
      </c>
      <c r="F840" s="566">
        <v>2</v>
      </c>
      <c r="G840" s="662">
        <v>19658.982015106489</v>
      </c>
      <c r="H840" s="662">
        <v>20349.291860208104</v>
      </c>
      <c r="I840" s="662">
        <v>21075.952863130999</v>
      </c>
      <c r="J840" s="662">
        <v>21840.821060575876</v>
      </c>
      <c r="K840" s="566" t="s">
        <v>1212</v>
      </c>
      <c r="L840" s="549"/>
      <c r="M840" s="540"/>
      <c r="S840" s="550"/>
      <c r="T840" s="547"/>
      <c r="U840" s="547"/>
      <c r="V840" s="547"/>
      <c r="W840" s="549"/>
    </row>
    <row r="841" spans="1:23">
      <c r="A841" s="565">
        <v>1535</v>
      </c>
      <c r="B841" s="696" t="s">
        <v>6248</v>
      </c>
      <c r="C841" s="566">
        <f t="shared" ref="C841:C904" si="13">A841</f>
        <v>1535</v>
      </c>
      <c r="D841" s="700" t="s">
        <v>2224</v>
      </c>
      <c r="E841" s="701" t="s">
        <v>8721</v>
      </c>
      <c r="F841" s="566">
        <v>2</v>
      </c>
      <c r="G841" s="662">
        <v>18108.29056674672</v>
      </c>
      <c r="H841" s="662">
        <v>18725.85282701797</v>
      </c>
      <c r="I841" s="662">
        <v>19375.9183641456</v>
      </c>
      <c r="J841" s="662">
        <v>20060.207407266858</v>
      </c>
      <c r="K841" s="566" t="s">
        <v>1213</v>
      </c>
      <c r="L841" s="549"/>
      <c r="M841" s="540"/>
      <c r="S841" s="550"/>
      <c r="T841" s="547"/>
      <c r="U841" s="547"/>
      <c r="V841" s="547"/>
      <c r="W841" s="549"/>
    </row>
    <row r="842" spans="1:23">
      <c r="A842" s="565">
        <v>1536</v>
      </c>
      <c r="B842" s="696" t="s">
        <v>6249</v>
      </c>
      <c r="C842" s="566">
        <f t="shared" si="13"/>
        <v>1536</v>
      </c>
      <c r="D842" s="700" t="s">
        <v>2224</v>
      </c>
      <c r="E842" s="701" t="s">
        <v>8722</v>
      </c>
      <c r="F842" s="566">
        <v>2</v>
      </c>
      <c r="G842" s="662">
        <v>20312.560949656745</v>
      </c>
      <c r="H842" s="662">
        <v>21024.328389786115</v>
      </c>
      <c r="I842" s="662">
        <v>21773.533448244496</v>
      </c>
      <c r="J842" s="662">
        <v>22562.167969296057</v>
      </c>
      <c r="K842" s="566" t="s">
        <v>1214</v>
      </c>
      <c r="L842" s="549"/>
      <c r="M842" s="540"/>
      <c r="S842" s="550"/>
      <c r="T842" s="547"/>
      <c r="U842" s="547"/>
      <c r="V842" s="547"/>
      <c r="W842" s="549"/>
    </row>
    <row r="843" spans="1:23">
      <c r="A843" s="565">
        <v>1537</v>
      </c>
      <c r="B843" s="696" t="s">
        <v>6250</v>
      </c>
      <c r="C843" s="566">
        <f t="shared" si="13"/>
        <v>1537</v>
      </c>
      <c r="D843" s="700" t="s">
        <v>2224</v>
      </c>
      <c r="E843" s="701" t="s">
        <v>8723</v>
      </c>
      <c r="F843" s="566">
        <v>2</v>
      </c>
      <c r="G843" s="662">
        <v>19235.269612738197</v>
      </c>
      <c r="H843" s="662">
        <v>19900.998288852326</v>
      </c>
      <c r="I843" s="662">
        <v>20601.765316340887</v>
      </c>
      <c r="J843" s="662">
        <v>21339.381462716767</v>
      </c>
      <c r="K843" s="566" t="s">
        <v>1215</v>
      </c>
      <c r="L843" s="549"/>
      <c r="M843" s="540"/>
      <c r="S843" s="550"/>
      <c r="T843" s="547"/>
      <c r="U843" s="547"/>
      <c r="V843" s="547"/>
      <c r="W843" s="549"/>
    </row>
    <row r="844" spans="1:23">
      <c r="A844" s="565">
        <v>1538</v>
      </c>
      <c r="B844" s="696" t="s">
        <v>6251</v>
      </c>
      <c r="C844" s="566">
        <f t="shared" si="13"/>
        <v>1538</v>
      </c>
      <c r="D844" s="700" t="s">
        <v>2224</v>
      </c>
      <c r="E844" s="701" t="s">
        <v>8724</v>
      </c>
      <c r="F844" s="566">
        <v>2</v>
      </c>
      <c r="G844" s="662">
        <v>20660.646528294164</v>
      </c>
      <c r="H844" s="662">
        <v>21387.262262029231</v>
      </c>
      <c r="I844" s="662">
        <v>22152.130459474109</v>
      </c>
      <c r="J844" s="662">
        <v>22957.242964892976</v>
      </c>
      <c r="K844" s="566" t="s">
        <v>1216</v>
      </c>
      <c r="L844" s="549"/>
      <c r="M844" s="540"/>
      <c r="S844" s="550"/>
      <c r="T844" s="547"/>
      <c r="U844" s="547"/>
      <c r="V844" s="547"/>
      <c r="W844" s="549"/>
    </row>
    <row r="845" spans="1:23">
      <c r="A845" s="565">
        <v>1539</v>
      </c>
      <c r="B845" s="696" t="s">
        <v>6252</v>
      </c>
      <c r="C845" s="566">
        <f t="shared" si="13"/>
        <v>1539</v>
      </c>
      <c r="D845" s="700" t="s">
        <v>2224</v>
      </c>
      <c r="E845" s="701" t="s">
        <v>8725</v>
      </c>
      <c r="F845" s="566">
        <v>2</v>
      </c>
      <c r="G845" s="662">
        <v>19583.264652999969</v>
      </c>
      <c r="H845" s="662">
        <v>20263.841622719803</v>
      </c>
      <c r="I845" s="662">
        <v>20980.226520007036</v>
      </c>
      <c r="J845" s="662">
        <v>21734.320650750222</v>
      </c>
      <c r="K845" s="566" t="s">
        <v>1217</v>
      </c>
      <c r="L845" s="549"/>
      <c r="M845" s="540"/>
      <c r="S845" s="550"/>
      <c r="T845" s="547"/>
      <c r="U845" s="547"/>
      <c r="V845" s="547"/>
      <c r="W845" s="549"/>
    </row>
    <row r="846" spans="1:23">
      <c r="A846" s="565">
        <v>1540</v>
      </c>
      <c r="B846" s="696" t="s">
        <v>6253</v>
      </c>
      <c r="C846" s="566">
        <f t="shared" si="13"/>
        <v>1540</v>
      </c>
      <c r="D846" s="700" t="s">
        <v>2224</v>
      </c>
      <c r="E846" s="701" t="s">
        <v>8726</v>
      </c>
      <c r="F846" s="566">
        <v>2</v>
      </c>
      <c r="G846" s="662">
        <v>18559.590889642543</v>
      </c>
      <c r="H846" s="662">
        <v>19210.193177618854</v>
      </c>
      <c r="I846" s="662">
        <v>19895.014951056542</v>
      </c>
      <c r="J846" s="662">
        <v>20615.870879639144</v>
      </c>
      <c r="K846" s="566" t="s">
        <v>1218</v>
      </c>
      <c r="L846" s="549"/>
      <c r="M846" s="540"/>
      <c r="S846" s="550"/>
      <c r="T846" s="547"/>
      <c r="U846" s="547"/>
      <c r="V846" s="547"/>
      <c r="W846" s="549"/>
    </row>
    <row r="847" spans="1:23">
      <c r="A847" s="565">
        <v>1541</v>
      </c>
      <c r="B847" s="696" t="s">
        <v>6254</v>
      </c>
      <c r="C847" s="566">
        <f t="shared" si="13"/>
        <v>1541</v>
      </c>
      <c r="D847" s="700" t="s">
        <v>2224</v>
      </c>
      <c r="E847" s="701" t="s">
        <v>8727</v>
      </c>
      <c r="F847" s="566">
        <v>2</v>
      </c>
      <c r="G847" s="662">
        <v>0</v>
      </c>
      <c r="H847" s="662">
        <v>0</v>
      </c>
      <c r="I847" s="662">
        <v>19952.660705289778</v>
      </c>
      <c r="J847" s="662">
        <v>20659.301721351181</v>
      </c>
      <c r="K847" s="566" t="s">
        <v>4002</v>
      </c>
      <c r="L847" s="549"/>
      <c r="M847" s="540"/>
      <c r="S847" s="550"/>
      <c r="T847" s="547"/>
      <c r="U847" s="547"/>
      <c r="V847" s="547"/>
      <c r="W847" s="549"/>
    </row>
    <row r="848" spans="1:23">
      <c r="A848" s="565">
        <v>1542</v>
      </c>
      <c r="B848" s="696" t="s">
        <v>6255</v>
      </c>
      <c r="C848" s="566">
        <f t="shared" si="13"/>
        <v>1542</v>
      </c>
      <c r="D848" s="700" t="s">
        <v>2224</v>
      </c>
      <c r="E848" s="701" t="s">
        <v>8728</v>
      </c>
      <c r="F848" s="566">
        <v>2</v>
      </c>
      <c r="G848" s="662">
        <v>17941.523036707145</v>
      </c>
      <c r="H848" s="662">
        <v>18559.590889642543</v>
      </c>
      <c r="I848" s="662">
        <v>19210.149971197821</v>
      </c>
      <c r="J848" s="662">
        <v>19894.971744635503</v>
      </c>
      <c r="K848" s="566" t="s">
        <v>1219</v>
      </c>
      <c r="L848" s="549"/>
      <c r="M848" s="540"/>
      <c r="S848" s="550"/>
      <c r="T848" s="547"/>
      <c r="U848" s="547"/>
      <c r="V848" s="547"/>
      <c r="W848" s="549"/>
    </row>
    <row r="849" spans="1:23">
      <c r="A849" s="565">
        <v>1543</v>
      </c>
      <c r="B849" s="696" t="s">
        <v>6256</v>
      </c>
      <c r="C849" s="566">
        <f t="shared" si="13"/>
        <v>1543</v>
      </c>
      <c r="D849" s="700" t="s">
        <v>2224</v>
      </c>
      <c r="E849" s="701" t="s">
        <v>8729</v>
      </c>
      <c r="F849" s="566">
        <v>2</v>
      </c>
      <c r="G849" s="662">
        <v>20665.325397009194</v>
      </c>
      <c r="H849" s="662">
        <v>21410.204095688416</v>
      </c>
      <c r="I849" s="662">
        <v>22194.271018248266</v>
      </c>
      <c r="J849" s="662">
        <v>23019.60007289852</v>
      </c>
      <c r="K849" s="566" t="s">
        <v>1220</v>
      </c>
      <c r="L849" s="549"/>
      <c r="M849" s="540"/>
      <c r="S849" s="550"/>
      <c r="T849" s="547"/>
      <c r="U849" s="547"/>
      <c r="V849" s="547"/>
      <c r="W849" s="549"/>
    </row>
    <row r="850" spans="1:23">
      <c r="A850" s="565">
        <v>1544</v>
      </c>
      <c r="B850" s="696" t="s">
        <v>6257</v>
      </c>
      <c r="C850" s="566">
        <f t="shared" si="13"/>
        <v>1544</v>
      </c>
      <c r="D850" s="700" t="s">
        <v>2224</v>
      </c>
      <c r="E850" s="701" t="s">
        <v>8730</v>
      </c>
      <c r="F850" s="566">
        <v>2</v>
      </c>
      <c r="G850" s="662">
        <v>19208.669569217553</v>
      </c>
      <c r="H850" s="662">
        <v>19888.306572130787</v>
      </c>
      <c r="I850" s="662">
        <v>20603.718491662716</v>
      </c>
      <c r="J850" s="662">
        <v>21356.806410338981</v>
      </c>
      <c r="K850" s="566" t="s">
        <v>1221</v>
      </c>
      <c r="L850" s="549"/>
      <c r="M850" s="540"/>
      <c r="S850" s="550"/>
      <c r="T850" s="547"/>
      <c r="U850" s="547"/>
      <c r="V850" s="547"/>
      <c r="W850" s="549"/>
    </row>
    <row r="851" spans="1:23">
      <c r="A851" s="565">
        <v>1545</v>
      </c>
      <c r="B851" s="696" t="s">
        <v>6258</v>
      </c>
      <c r="C851" s="566">
        <f t="shared" si="13"/>
        <v>1545</v>
      </c>
      <c r="D851" s="700" t="s">
        <v>2224</v>
      </c>
      <c r="E851" s="701" t="s">
        <v>8731</v>
      </c>
      <c r="F851" s="566">
        <v>2</v>
      </c>
      <c r="G851" s="662">
        <v>18559.590889642543</v>
      </c>
      <c r="H851" s="662">
        <v>19210.193177618854</v>
      </c>
      <c r="I851" s="662">
        <v>19895.014951056542</v>
      </c>
      <c r="J851" s="662">
        <v>20615.870879639144</v>
      </c>
      <c r="K851" s="566" t="s">
        <v>1222</v>
      </c>
      <c r="L851" s="549"/>
      <c r="M851" s="540"/>
      <c r="S851" s="550"/>
      <c r="T851" s="547"/>
      <c r="U851" s="547"/>
      <c r="V851" s="547"/>
      <c r="W851" s="549"/>
    </row>
    <row r="852" spans="1:23">
      <c r="A852" s="565">
        <v>1546</v>
      </c>
      <c r="B852" s="696" t="s">
        <v>6259</v>
      </c>
      <c r="C852" s="566">
        <f t="shared" si="13"/>
        <v>1546</v>
      </c>
      <c r="D852" s="700" t="s">
        <v>2224</v>
      </c>
      <c r="E852" s="701" t="s">
        <v>8732</v>
      </c>
      <c r="F852" s="566">
        <v>2</v>
      </c>
      <c r="G852" s="662">
        <v>18197.248081718699</v>
      </c>
      <c r="H852" s="662">
        <v>18805.07601286831</v>
      </c>
      <c r="I852" s="662">
        <v>19444.91990200639</v>
      </c>
      <c r="J852" s="662">
        <v>20118.421593132356</v>
      </c>
      <c r="K852" s="566" t="s">
        <v>1223</v>
      </c>
      <c r="L852" s="549"/>
      <c r="M852" s="540"/>
      <c r="S852" s="550"/>
      <c r="T852" s="547"/>
      <c r="U852" s="547"/>
      <c r="V852" s="547"/>
      <c r="W852" s="549"/>
    </row>
    <row r="853" spans="1:23">
      <c r="A853" s="565">
        <v>1547</v>
      </c>
      <c r="B853" s="696" t="s">
        <v>6260</v>
      </c>
      <c r="C853" s="566">
        <f t="shared" si="13"/>
        <v>1547</v>
      </c>
      <c r="D853" s="700" t="s">
        <v>2224</v>
      </c>
      <c r="E853" s="701" t="s">
        <v>8733</v>
      </c>
      <c r="F853" s="566">
        <v>2</v>
      </c>
      <c r="G853" s="662">
        <v>17492.349538994164</v>
      </c>
      <c r="H853" s="662">
        <v>18069.932975417818</v>
      </c>
      <c r="I853" s="662">
        <v>18677.933732251571</v>
      </c>
      <c r="J853" s="662">
        <v>19317.95044707381</v>
      </c>
      <c r="K853" s="566" t="s">
        <v>1224</v>
      </c>
      <c r="L853" s="549"/>
      <c r="M853" s="540"/>
      <c r="S853" s="550"/>
      <c r="T853" s="547"/>
      <c r="U853" s="547"/>
      <c r="V853" s="547"/>
      <c r="W853" s="549"/>
    </row>
    <row r="854" spans="1:23">
      <c r="A854" s="565">
        <v>1548</v>
      </c>
      <c r="B854" s="696" t="s">
        <v>6261</v>
      </c>
      <c r="C854" s="566">
        <f t="shared" si="13"/>
        <v>1548</v>
      </c>
      <c r="D854" s="700" t="s">
        <v>2224</v>
      </c>
      <c r="E854" s="701" t="s">
        <v>8734</v>
      </c>
      <c r="F854" s="566">
        <v>2</v>
      </c>
      <c r="G854" s="662">
        <v>18854.446723055858</v>
      </c>
      <c r="H854" s="662">
        <v>19490.488447142674</v>
      </c>
      <c r="I854" s="662">
        <v>20160.015147533239</v>
      </c>
      <c r="J854" s="662">
        <v>20864.755081069005</v>
      </c>
      <c r="K854" s="566" t="s">
        <v>1225</v>
      </c>
      <c r="L854" s="549"/>
      <c r="M854" s="540"/>
      <c r="O854" s="583"/>
      <c r="S854" s="550"/>
      <c r="T854" s="547"/>
      <c r="U854" s="547"/>
      <c r="V854" s="547"/>
      <c r="W854" s="549"/>
    </row>
    <row r="855" spans="1:23">
      <c r="A855" s="565">
        <v>1549</v>
      </c>
      <c r="B855" s="696" t="s">
        <v>6262</v>
      </c>
      <c r="C855" s="566">
        <f t="shared" si="13"/>
        <v>1549</v>
      </c>
      <c r="D855" s="700" t="s">
        <v>2224</v>
      </c>
      <c r="E855" s="701" t="s">
        <v>8735</v>
      </c>
      <c r="F855" s="566">
        <v>2</v>
      </c>
      <c r="G855" s="662">
        <v>18149.548180331323</v>
      </c>
      <c r="H855" s="662">
        <v>18755.345409692192</v>
      </c>
      <c r="I855" s="662">
        <v>19393.028977778416</v>
      </c>
      <c r="J855" s="662">
        <v>20064.283935010459</v>
      </c>
      <c r="K855" s="566" t="s">
        <v>1226</v>
      </c>
      <c r="L855" s="549"/>
      <c r="M855" s="540"/>
      <c r="O855" s="583"/>
      <c r="S855" s="550"/>
      <c r="T855" s="547"/>
      <c r="U855" s="547"/>
      <c r="V855" s="547"/>
      <c r="W855" s="549"/>
    </row>
    <row r="856" spans="1:23">
      <c r="A856" s="565">
        <v>1550</v>
      </c>
      <c r="B856" s="696" t="s">
        <v>6263</v>
      </c>
      <c r="C856" s="566">
        <f t="shared" si="13"/>
        <v>1550</v>
      </c>
      <c r="D856" s="700" t="s">
        <v>2224</v>
      </c>
      <c r="E856" s="701" t="s">
        <v>8736</v>
      </c>
      <c r="F856" s="566">
        <v>2</v>
      </c>
      <c r="G856" s="662">
        <v>18038.248410427452</v>
      </c>
      <c r="H856" s="662">
        <v>18639.29293347424</v>
      </c>
      <c r="I856" s="662">
        <v>19271.964556720162</v>
      </c>
      <c r="J856" s="662">
        <v>19937.905124164645</v>
      </c>
      <c r="K856" s="566" t="s">
        <v>1227</v>
      </c>
      <c r="L856" s="549"/>
      <c r="M856" s="540"/>
      <c r="O856" s="583"/>
      <c r="S856" s="550"/>
      <c r="T856" s="547"/>
      <c r="U856" s="547"/>
      <c r="V856" s="547"/>
      <c r="W856" s="549"/>
    </row>
    <row r="857" spans="1:23">
      <c r="A857" s="565">
        <v>1551</v>
      </c>
      <c r="B857" s="696" t="s">
        <v>6264</v>
      </c>
      <c r="C857" s="566">
        <f t="shared" si="13"/>
        <v>1551</v>
      </c>
      <c r="D857" s="700" t="s">
        <v>2224</v>
      </c>
      <c r="E857" s="701" t="s">
        <v>8737</v>
      </c>
      <c r="F857" s="566">
        <v>2</v>
      </c>
      <c r="G857" s="662">
        <v>17333.349867702917</v>
      </c>
      <c r="H857" s="662">
        <v>17904.149896023748</v>
      </c>
      <c r="I857" s="662">
        <v>18504.978386965355</v>
      </c>
      <c r="J857" s="662">
        <v>19137.433978106092</v>
      </c>
      <c r="K857" s="566" t="s">
        <v>1228</v>
      </c>
      <c r="L857" s="549"/>
      <c r="M857" s="540"/>
      <c r="O857" s="583"/>
      <c r="S857" s="550"/>
      <c r="T857" s="547"/>
      <c r="U857" s="547"/>
      <c r="V857" s="547"/>
      <c r="W857" s="549"/>
    </row>
    <row r="858" spans="1:23">
      <c r="A858" s="565">
        <v>1552</v>
      </c>
      <c r="B858" s="696" t="s">
        <v>6265</v>
      </c>
      <c r="C858" s="566">
        <f t="shared" si="13"/>
        <v>1552</v>
      </c>
      <c r="D858" s="700" t="s">
        <v>2224</v>
      </c>
      <c r="E858" s="701" t="s">
        <v>8738</v>
      </c>
      <c r="F858" s="566">
        <v>2</v>
      </c>
      <c r="G858" s="662">
        <v>18912.746602529314</v>
      </c>
      <c r="H858" s="662">
        <v>19551.294299036279</v>
      </c>
      <c r="I858" s="662">
        <v>20223.456591110102</v>
      </c>
      <c r="J858" s="662">
        <v>20931.004942013289</v>
      </c>
      <c r="K858" s="566" t="s">
        <v>1229</v>
      </c>
      <c r="L858" s="549"/>
      <c r="M858" s="540"/>
      <c r="O858" s="583"/>
      <c r="S858" s="550"/>
      <c r="T858" s="547"/>
      <c r="U858" s="547"/>
      <c r="V858" s="547"/>
      <c r="W858" s="549"/>
    </row>
    <row r="859" spans="1:23">
      <c r="A859" s="565">
        <v>1553</v>
      </c>
      <c r="B859" s="695" t="s">
        <v>6266</v>
      </c>
      <c r="C859" s="566">
        <f t="shared" si="13"/>
        <v>1553</v>
      </c>
      <c r="D859" s="699" t="s">
        <v>2224</v>
      </c>
      <c r="E859" s="701" t="s">
        <v>8739</v>
      </c>
      <c r="F859" s="567">
        <v>2</v>
      </c>
      <c r="G859" s="662">
        <v>18213.148048847826</v>
      </c>
      <c r="H859" s="662">
        <v>18821.667282734026</v>
      </c>
      <c r="I859" s="662">
        <v>19462.202474608701</v>
      </c>
      <c r="J859" s="662">
        <v>20136.481881313335</v>
      </c>
      <c r="K859" s="568" t="s">
        <v>1230</v>
      </c>
      <c r="L859" s="549"/>
      <c r="M859" s="540"/>
      <c r="O859" s="583"/>
      <c r="S859" s="550"/>
      <c r="T859" s="547"/>
      <c r="U859" s="547"/>
      <c r="V859" s="547"/>
      <c r="W859" s="549"/>
    </row>
    <row r="860" spans="1:23">
      <c r="A860" s="565">
        <v>1554</v>
      </c>
      <c r="B860" s="696" t="s">
        <v>6267</v>
      </c>
      <c r="C860" s="566">
        <f t="shared" si="13"/>
        <v>1554</v>
      </c>
      <c r="D860" s="700" t="s">
        <v>2224</v>
      </c>
      <c r="E860" s="701" t="s">
        <v>8740</v>
      </c>
      <c r="F860" s="566">
        <v>2</v>
      </c>
      <c r="G860" s="662">
        <v>24094.590959760837</v>
      </c>
      <c r="H860" s="662">
        <v>24993.025278805839</v>
      </c>
      <c r="I860" s="662">
        <v>25938.727422465392</v>
      </c>
      <c r="J860" s="662">
        <v>26934.203363159664</v>
      </c>
      <c r="K860" s="566" t="s">
        <v>1231</v>
      </c>
      <c r="L860" s="549"/>
      <c r="M860" s="540"/>
      <c r="O860" s="583"/>
      <c r="S860" s="550"/>
      <c r="T860" s="547"/>
      <c r="U860" s="547"/>
      <c r="V860" s="547"/>
      <c r="W860" s="549"/>
    </row>
    <row r="861" spans="1:23">
      <c r="A861" s="565">
        <v>1555</v>
      </c>
      <c r="B861" s="696" t="s">
        <v>6268</v>
      </c>
      <c r="C861" s="566">
        <f t="shared" si="13"/>
        <v>1555</v>
      </c>
      <c r="D861" s="700" t="s">
        <v>2224</v>
      </c>
      <c r="E861" s="701" t="s">
        <v>8741</v>
      </c>
      <c r="F861" s="566">
        <v>2</v>
      </c>
      <c r="G861" s="662">
        <v>26208.539297540276</v>
      </c>
      <c r="H861" s="662">
        <v>27201.638885077507</v>
      </c>
      <c r="I861" s="662">
        <v>28247.018242069604</v>
      </c>
      <c r="J861" s="662">
        <v>29347.399373041906</v>
      </c>
      <c r="K861" s="566" t="s">
        <v>1232</v>
      </c>
      <c r="L861" s="549"/>
      <c r="M861" s="540"/>
      <c r="O861" s="583"/>
      <c r="S861" s="550"/>
      <c r="T861" s="547"/>
      <c r="U861" s="547"/>
      <c r="V861" s="547"/>
      <c r="W861" s="549"/>
    </row>
    <row r="862" spans="1:23">
      <c r="A862" s="565">
        <v>1556</v>
      </c>
      <c r="B862" s="696" t="s">
        <v>6269</v>
      </c>
      <c r="C862" s="566">
        <f t="shared" si="13"/>
        <v>1556</v>
      </c>
      <c r="D862" s="700" t="s">
        <v>2224</v>
      </c>
      <c r="E862" s="701" t="s">
        <v>8742</v>
      </c>
      <c r="F862" s="566">
        <v>2</v>
      </c>
      <c r="G862" s="662">
        <v>25305.649722511411</v>
      </c>
      <c r="H862" s="662">
        <v>26265.480365850097</v>
      </c>
      <c r="I862" s="662">
        <v>27275.819315381123</v>
      </c>
      <c r="J862" s="662">
        <v>28339.345369208797</v>
      </c>
      <c r="K862" s="566" t="s">
        <v>1233</v>
      </c>
      <c r="L862" s="549"/>
      <c r="M862" s="540"/>
      <c r="O862" s="583"/>
      <c r="S862" s="550"/>
      <c r="T862" s="547"/>
      <c r="U862" s="547"/>
      <c r="V862" s="547"/>
      <c r="W862" s="549"/>
    </row>
    <row r="863" spans="1:23">
      <c r="A863" s="565">
        <v>1557</v>
      </c>
      <c r="B863" s="696" t="s">
        <v>6270</v>
      </c>
      <c r="C863" s="566">
        <f t="shared" si="13"/>
        <v>1557</v>
      </c>
      <c r="D863" s="700" t="s">
        <v>2224</v>
      </c>
      <c r="E863" s="701" t="s">
        <v>8743</v>
      </c>
      <c r="F863" s="566">
        <v>2</v>
      </c>
      <c r="G863" s="662">
        <v>23189.922036444183</v>
      </c>
      <c r="H863" s="662">
        <v>24027.046444037558</v>
      </c>
      <c r="I863" s="662">
        <v>24908.241401088762</v>
      </c>
      <c r="J863" s="662">
        <v>25835.840054333788</v>
      </c>
      <c r="K863" s="566" t="s">
        <v>1234</v>
      </c>
      <c r="L863" s="549"/>
      <c r="M863" s="540"/>
      <c r="O863" s="583"/>
      <c r="S863" s="550"/>
      <c r="T863" s="547"/>
      <c r="U863" s="547"/>
      <c r="V863" s="547"/>
      <c r="W863" s="549"/>
    </row>
    <row r="864" spans="1:23">
      <c r="A864" s="565">
        <v>1558</v>
      </c>
      <c r="B864" s="696" t="s">
        <v>6271</v>
      </c>
      <c r="C864" s="566">
        <f t="shared" si="13"/>
        <v>1558</v>
      </c>
      <c r="D864" s="700" t="s">
        <v>2224</v>
      </c>
      <c r="E864" s="701" t="s">
        <v>8744</v>
      </c>
      <c r="F864" s="566">
        <v>2</v>
      </c>
      <c r="G864" s="662">
        <v>19667.877118578792</v>
      </c>
      <c r="H864" s="662">
        <v>20332.348667708011</v>
      </c>
      <c r="I864" s="662">
        <v>21031.817417877261</v>
      </c>
      <c r="J864" s="662">
        <v>21768.098038770106</v>
      </c>
      <c r="K864" s="566" t="s">
        <v>1235</v>
      </c>
      <c r="L864" s="549"/>
      <c r="M864" s="540"/>
      <c r="O864" s="583"/>
      <c r="S864" s="550"/>
      <c r="T864" s="547"/>
      <c r="U864" s="547"/>
      <c r="V864" s="547"/>
      <c r="W864" s="549"/>
    </row>
    <row r="865" spans="1:23">
      <c r="A865" s="565">
        <v>1559</v>
      </c>
      <c r="B865" s="696" t="s">
        <v>6272</v>
      </c>
      <c r="C865" s="566">
        <f t="shared" si="13"/>
        <v>1559</v>
      </c>
      <c r="D865" s="700" t="s">
        <v>2224</v>
      </c>
      <c r="E865" s="701" t="s">
        <v>8745</v>
      </c>
      <c r="F865" s="566">
        <v>2</v>
      </c>
      <c r="G865" s="662">
        <v>18935.787319527495</v>
      </c>
      <c r="H865" s="662">
        <v>19569.150245510016</v>
      </c>
      <c r="I865" s="662">
        <v>20235.868528533159</v>
      </c>
      <c r="J865" s="662">
        <v>20937.67042543842</v>
      </c>
      <c r="K865" s="566" t="s">
        <v>1236</v>
      </c>
      <c r="L865" s="549"/>
      <c r="M865" s="540"/>
      <c r="O865" s="583"/>
      <c r="S865" s="550"/>
      <c r="T865" s="547"/>
      <c r="U865" s="547"/>
      <c r="V865" s="547"/>
      <c r="W865" s="549"/>
    </row>
    <row r="866" spans="1:23">
      <c r="A866" s="565">
        <v>1560</v>
      </c>
      <c r="B866" s="696" t="s">
        <v>6273</v>
      </c>
      <c r="C866" s="566">
        <f t="shared" si="13"/>
        <v>1560</v>
      </c>
      <c r="D866" s="700" t="s">
        <v>2224</v>
      </c>
      <c r="E866" s="701" t="s">
        <v>8746</v>
      </c>
      <c r="F866" s="566">
        <v>2</v>
      </c>
      <c r="G866" s="662">
        <v>28082.793967895068</v>
      </c>
      <c r="H866" s="662">
        <v>29150.208599616075</v>
      </c>
      <c r="I866" s="662">
        <v>30217.623231337078</v>
      </c>
      <c r="J866" s="662">
        <v>31341.206210406286</v>
      </c>
      <c r="K866" s="566" t="s">
        <v>1237</v>
      </c>
      <c r="L866" s="549"/>
      <c r="M866" s="540"/>
      <c r="O866" s="583"/>
      <c r="S866" s="550"/>
      <c r="T866" s="547"/>
      <c r="U866" s="547"/>
      <c r="V866" s="547"/>
      <c r="W866" s="549"/>
    </row>
    <row r="867" spans="1:23">
      <c r="A867" s="565">
        <v>1561</v>
      </c>
      <c r="B867" s="696" t="s">
        <v>6274</v>
      </c>
      <c r="C867" s="566">
        <f t="shared" si="13"/>
        <v>1561</v>
      </c>
      <c r="D867" s="700" t="s">
        <v>2224</v>
      </c>
      <c r="E867" s="701" t="s">
        <v>8747</v>
      </c>
      <c r="F867" s="566">
        <v>2</v>
      </c>
      <c r="G867" s="662">
        <v>23189.922036444183</v>
      </c>
      <c r="H867" s="662">
        <v>24027.046444037558</v>
      </c>
      <c r="I867" s="662">
        <v>24908.241401088762</v>
      </c>
      <c r="J867" s="662">
        <v>25835.840054333788</v>
      </c>
      <c r="K867" s="566" t="s">
        <v>1238</v>
      </c>
      <c r="L867" s="549"/>
      <c r="M867" s="540"/>
      <c r="O867" s="583"/>
      <c r="S867" s="550"/>
      <c r="T867" s="547"/>
      <c r="U867" s="547"/>
      <c r="V867" s="547"/>
      <c r="W867" s="549"/>
    </row>
    <row r="868" spans="1:23">
      <c r="A868" s="565">
        <v>1562</v>
      </c>
      <c r="B868" s="695" t="s">
        <v>6275</v>
      </c>
      <c r="C868" s="566">
        <f t="shared" si="13"/>
        <v>1562</v>
      </c>
      <c r="D868" s="699" t="s">
        <v>2224</v>
      </c>
      <c r="E868" s="701" t="s">
        <v>8748</v>
      </c>
      <c r="F868" s="567">
        <v>2</v>
      </c>
      <c r="G868" s="662">
        <v>28973.952618551662</v>
      </c>
      <c r="H868" s="662">
        <v>30063.834589211951</v>
      </c>
      <c r="I868" s="662">
        <v>31211.051480588438</v>
      </c>
      <c r="J868" s="662">
        <v>32418.670948574756</v>
      </c>
      <c r="K868" s="568" t="s">
        <v>1239</v>
      </c>
      <c r="L868" s="549"/>
      <c r="M868" s="540"/>
      <c r="O868" s="582"/>
      <c r="S868" s="550"/>
      <c r="T868" s="547"/>
      <c r="U868" s="547"/>
      <c r="V868" s="547"/>
      <c r="W868" s="549"/>
    </row>
    <row r="869" spans="1:23">
      <c r="A869" s="565">
        <v>1563</v>
      </c>
      <c r="B869" s="696" t="s">
        <v>6276</v>
      </c>
      <c r="C869" s="566">
        <f t="shared" si="13"/>
        <v>1563</v>
      </c>
      <c r="D869" s="700" t="s">
        <v>2224</v>
      </c>
      <c r="E869" s="701" t="s">
        <v>8749</v>
      </c>
      <c r="F869" s="566">
        <v>2</v>
      </c>
      <c r="G869" s="662">
        <v>33799.066579568163</v>
      </c>
      <c r="H869" s="662">
        <v>35142.051764663651</v>
      </c>
      <c r="I869" s="662">
        <v>36555.722654575802</v>
      </c>
      <c r="J869" s="662">
        <v>38043.795001513798</v>
      </c>
      <c r="K869" s="566" t="s">
        <v>1240</v>
      </c>
      <c r="L869" s="549"/>
      <c r="M869" s="540"/>
      <c r="O869" s="582"/>
      <c r="S869" s="550"/>
      <c r="T869" s="547"/>
      <c r="U869" s="547"/>
      <c r="V869" s="547"/>
      <c r="W869" s="549"/>
    </row>
    <row r="870" spans="1:23">
      <c r="A870" s="565">
        <v>1564</v>
      </c>
      <c r="B870" s="695" t="s">
        <v>6277</v>
      </c>
      <c r="C870" s="566">
        <f t="shared" si="13"/>
        <v>1564</v>
      </c>
      <c r="D870" s="699" t="s">
        <v>2224</v>
      </c>
      <c r="E870" s="701" t="s">
        <v>8750</v>
      </c>
      <c r="F870" s="567">
        <v>2</v>
      </c>
      <c r="G870" s="662">
        <v>30076.99188660079</v>
      </c>
      <c r="H870" s="662">
        <v>31243.306016075661</v>
      </c>
      <c r="I870" s="662">
        <v>32471.016469844231</v>
      </c>
      <c r="J870" s="662">
        <v>33763.32052306323</v>
      </c>
      <c r="K870" s="568" t="s">
        <v>1241</v>
      </c>
      <c r="L870" s="549"/>
      <c r="M870" s="540"/>
      <c r="O870" s="582"/>
      <c r="S870" s="550"/>
      <c r="T870" s="547"/>
      <c r="U870" s="547"/>
      <c r="V870" s="547"/>
      <c r="W870" s="549"/>
    </row>
    <row r="871" spans="1:23">
      <c r="A871" s="565">
        <v>1565</v>
      </c>
      <c r="B871" s="695" t="s">
        <v>6278</v>
      </c>
      <c r="C871" s="566">
        <f t="shared" si="13"/>
        <v>1565</v>
      </c>
      <c r="D871" s="699" t="s">
        <v>2224</v>
      </c>
      <c r="E871" s="701" t="s">
        <v>8751</v>
      </c>
      <c r="F871" s="567">
        <v>2</v>
      </c>
      <c r="G871" s="662">
        <v>27962.990548930924</v>
      </c>
      <c r="H871" s="662">
        <v>29034.639409913565</v>
      </c>
      <c r="I871" s="662">
        <v>30162.715856770632</v>
      </c>
      <c r="J871" s="662">
        <v>31350.157926132633</v>
      </c>
      <c r="K871" s="568" t="s">
        <v>1242</v>
      </c>
      <c r="L871" s="549"/>
      <c r="M871" s="540"/>
      <c r="O871" s="582"/>
      <c r="S871" s="550"/>
      <c r="T871" s="547"/>
      <c r="U871" s="547"/>
      <c r="V871" s="547"/>
      <c r="W871" s="549"/>
    </row>
    <row r="872" spans="1:23">
      <c r="A872" s="565">
        <v>1566</v>
      </c>
      <c r="B872" s="696" t="s">
        <v>6279</v>
      </c>
      <c r="C872" s="566">
        <f t="shared" si="13"/>
        <v>1566</v>
      </c>
      <c r="D872" s="700" t="s">
        <v>2224</v>
      </c>
      <c r="E872" s="701" t="s">
        <v>8752</v>
      </c>
      <c r="F872" s="566">
        <v>2</v>
      </c>
      <c r="G872" s="662">
        <v>33799.066579568163</v>
      </c>
      <c r="H872" s="662">
        <v>35142.051764663651</v>
      </c>
      <c r="I872" s="662">
        <v>36555.722654575802</v>
      </c>
      <c r="J872" s="662">
        <v>38043.795001513798</v>
      </c>
      <c r="K872" s="566" t="s">
        <v>1243</v>
      </c>
      <c r="L872" s="549"/>
      <c r="M872" s="540"/>
      <c r="O872" s="582"/>
      <c r="S872" s="550"/>
      <c r="T872" s="547"/>
      <c r="U872" s="547"/>
      <c r="V872" s="547"/>
      <c r="W872" s="549"/>
    </row>
    <row r="873" spans="1:23">
      <c r="A873" s="565">
        <v>1567</v>
      </c>
      <c r="B873" s="696" t="s">
        <v>6280</v>
      </c>
      <c r="C873" s="566">
        <f t="shared" si="13"/>
        <v>1567</v>
      </c>
      <c r="D873" s="700" t="s">
        <v>2224</v>
      </c>
      <c r="E873" s="701" t="s">
        <v>8753</v>
      </c>
      <c r="F873" s="566">
        <v>2</v>
      </c>
      <c r="G873" s="662">
        <v>27387.42908235285</v>
      </c>
      <c r="H873" s="662">
        <v>28389.602018307876</v>
      </c>
      <c r="I873" s="662">
        <v>29444.529994349166</v>
      </c>
      <c r="J873" s="662">
        <v>30554.978221423102</v>
      </c>
      <c r="K873" s="566" t="s">
        <v>1244</v>
      </c>
      <c r="L873" s="549"/>
      <c r="M873" s="540"/>
      <c r="O873" s="582"/>
      <c r="S873" s="550"/>
      <c r="T873" s="547"/>
      <c r="U873" s="547"/>
      <c r="V873" s="547"/>
      <c r="W873" s="549"/>
    </row>
    <row r="874" spans="1:23">
      <c r="A874" s="565">
        <v>1568</v>
      </c>
      <c r="B874" s="696" t="s">
        <v>6281</v>
      </c>
      <c r="C874" s="566">
        <f t="shared" si="13"/>
        <v>1568</v>
      </c>
      <c r="D874" s="700" t="s">
        <v>2224</v>
      </c>
      <c r="E874" s="701" t="s">
        <v>8754</v>
      </c>
      <c r="F874" s="566">
        <v>1</v>
      </c>
      <c r="G874" s="662">
        <v>0</v>
      </c>
      <c r="H874" s="662">
        <v>0</v>
      </c>
      <c r="I874" s="662">
        <v>17900.203608467182</v>
      </c>
      <c r="J874" s="662">
        <v>18339.950176412225</v>
      </c>
      <c r="K874" s="566" t="s">
        <v>4003</v>
      </c>
      <c r="L874" s="549"/>
      <c r="M874" s="540"/>
      <c r="O874" s="582"/>
      <c r="S874" s="550"/>
      <c r="T874" s="547"/>
      <c r="U874" s="547"/>
      <c r="V874" s="547"/>
      <c r="W874" s="549"/>
    </row>
    <row r="875" spans="1:23">
      <c r="A875" s="565">
        <v>1569</v>
      </c>
      <c r="B875" s="696" t="s">
        <v>6282</v>
      </c>
      <c r="C875" s="566">
        <f t="shared" si="13"/>
        <v>1569</v>
      </c>
      <c r="D875" s="700" t="s">
        <v>2224</v>
      </c>
      <c r="E875" s="701" t="s">
        <v>8755</v>
      </c>
      <c r="F875" s="566">
        <v>1</v>
      </c>
      <c r="G875" s="662">
        <v>0</v>
      </c>
      <c r="H875" s="662">
        <v>0</v>
      </c>
      <c r="I875" s="662">
        <v>16955.477396709335</v>
      </c>
      <c r="J875" s="662">
        <v>17368.619802928351</v>
      </c>
      <c r="K875" s="566" t="s">
        <v>4004</v>
      </c>
      <c r="L875" s="549"/>
      <c r="M875" s="540"/>
      <c r="O875" s="582"/>
      <c r="S875" s="550"/>
      <c r="T875" s="547"/>
      <c r="U875" s="547"/>
      <c r="V875" s="547"/>
      <c r="W875" s="549"/>
    </row>
    <row r="876" spans="1:23">
      <c r="A876" s="565">
        <v>1570</v>
      </c>
      <c r="B876" s="695" t="s">
        <v>6283</v>
      </c>
      <c r="C876" s="566">
        <f t="shared" si="13"/>
        <v>1570</v>
      </c>
      <c r="D876" s="699" t="s">
        <v>2224</v>
      </c>
      <c r="E876" s="701" t="s">
        <v>8756</v>
      </c>
      <c r="F876" s="567">
        <v>1</v>
      </c>
      <c r="G876" s="662">
        <v>0</v>
      </c>
      <c r="H876" s="662">
        <v>19171.65368438742</v>
      </c>
      <c r="I876" s="662">
        <v>20126.408593581378</v>
      </c>
      <c r="J876" s="662">
        <v>20628.892753432967</v>
      </c>
      <c r="K876" s="568" t="s">
        <v>4005</v>
      </c>
      <c r="L876" s="549"/>
      <c r="M876" s="540"/>
      <c r="O876" s="582"/>
      <c r="S876" s="550"/>
      <c r="T876" s="547"/>
      <c r="U876" s="547"/>
      <c r="V876" s="547"/>
      <c r="W876" s="549"/>
    </row>
    <row r="877" spans="1:23">
      <c r="A877" s="565">
        <v>1571</v>
      </c>
      <c r="B877" s="696" t="s">
        <v>6284</v>
      </c>
      <c r="C877" s="566">
        <f t="shared" si="13"/>
        <v>1571</v>
      </c>
      <c r="D877" s="700" t="s">
        <v>2224</v>
      </c>
      <c r="E877" s="701" t="s">
        <v>8757</v>
      </c>
      <c r="F877" s="566">
        <v>1</v>
      </c>
      <c r="G877" s="662">
        <v>12799.944142066179</v>
      </c>
      <c r="H877" s="662">
        <v>13111.17104937469</v>
      </c>
      <c r="I877" s="662">
        <v>0</v>
      </c>
      <c r="J877" s="662">
        <v>0</v>
      </c>
      <c r="K877" s="566" t="s">
        <v>1245</v>
      </c>
      <c r="L877" s="549"/>
      <c r="M877" s="540"/>
      <c r="O877" s="582"/>
      <c r="S877" s="550"/>
      <c r="T877" s="547"/>
      <c r="U877" s="547"/>
      <c r="V877" s="547"/>
      <c r="W877" s="549"/>
    </row>
    <row r="878" spans="1:23">
      <c r="A878" s="565">
        <v>1572</v>
      </c>
      <c r="B878" s="695" t="s">
        <v>6285</v>
      </c>
      <c r="C878" s="566">
        <f t="shared" si="13"/>
        <v>1572</v>
      </c>
      <c r="D878" s="699" t="s">
        <v>2224</v>
      </c>
      <c r="E878" s="701" t="s">
        <v>8758</v>
      </c>
      <c r="F878" s="567">
        <v>1</v>
      </c>
      <c r="G878" s="662">
        <v>13710.681166772478</v>
      </c>
      <c r="H878" s="662">
        <v>14048.892137608165</v>
      </c>
      <c r="I878" s="662">
        <v>14404.878324894302</v>
      </c>
      <c r="J878" s="662">
        <v>14779.603445185421</v>
      </c>
      <c r="K878" s="568" t="s">
        <v>1246</v>
      </c>
      <c r="L878" s="549"/>
      <c r="M878" s="540"/>
      <c r="O878" s="582"/>
      <c r="S878" s="550"/>
      <c r="T878" s="547"/>
      <c r="U878" s="547"/>
      <c r="V878" s="547"/>
      <c r="W878" s="549"/>
    </row>
    <row r="879" spans="1:23">
      <c r="A879" s="565">
        <v>1573</v>
      </c>
      <c r="B879" s="696" t="s">
        <v>6286</v>
      </c>
      <c r="C879" s="566">
        <f t="shared" si="13"/>
        <v>1573</v>
      </c>
      <c r="D879" s="700" t="s">
        <v>2224</v>
      </c>
      <c r="E879" s="701" t="s">
        <v>8759</v>
      </c>
      <c r="F879" s="566">
        <v>1</v>
      </c>
      <c r="G879" s="662">
        <v>0</v>
      </c>
      <c r="H879" s="662">
        <v>16210.791566002794</v>
      </c>
      <c r="I879" s="662">
        <v>16603.880840638794</v>
      </c>
      <c r="J879" s="662">
        <v>17017.690021197461</v>
      </c>
      <c r="K879" s="566" t="s">
        <v>3081</v>
      </c>
      <c r="L879" s="549"/>
      <c r="M879" s="540"/>
      <c r="O879" s="582"/>
      <c r="S879" s="550"/>
      <c r="T879" s="547"/>
      <c r="U879" s="547"/>
      <c r="V879" s="547"/>
      <c r="W879" s="549"/>
    </row>
    <row r="880" spans="1:23">
      <c r="A880" s="565">
        <v>1574</v>
      </c>
      <c r="B880" s="696" t="s">
        <v>6287</v>
      </c>
      <c r="C880" s="566">
        <f t="shared" si="13"/>
        <v>1574</v>
      </c>
      <c r="D880" s="700" t="s">
        <v>2224</v>
      </c>
      <c r="E880" s="701" t="s">
        <v>8760</v>
      </c>
      <c r="F880" s="566">
        <v>1</v>
      </c>
      <c r="G880" s="662">
        <v>0</v>
      </c>
      <c r="H880" s="662">
        <v>15581.969351228472</v>
      </c>
      <c r="I880" s="662">
        <v>15957.283409414036</v>
      </c>
      <c r="J880" s="662">
        <v>16352.353656967709</v>
      </c>
      <c r="K880" s="566" t="s">
        <v>3082</v>
      </c>
      <c r="L880" s="549"/>
      <c r="M880" s="540"/>
      <c r="O880" s="581"/>
      <c r="S880" s="550"/>
      <c r="T880" s="547"/>
      <c r="U880" s="547"/>
      <c r="V880" s="547"/>
      <c r="W880" s="549"/>
    </row>
    <row r="881" spans="1:23">
      <c r="A881" s="565">
        <v>1575</v>
      </c>
      <c r="B881" s="696" t="s">
        <v>6288</v>
      </c>
      <c r="C881" s="566">
        <f t="shared" si="13"/>
        <v>1575</v>
      </c>
      <c r="D881" s="700" t="s">
        <v>2224</v>
      </c>
      <c r="E881" s="701" t="s">
        <v>8761</v>
      </c>
      <c r="F881" s="566">
        <v>1</v>
      </c>
      <c r="G881" s="662">
        <v>0</v>
      </c>
      <c r="H881" s="662">
        <v>18276.921700261268</v>
      </c>
      <c r="I881" s="662">
        <v>18728.315826447069</v>
      </c>
      <c r="J881" s="662">
        <v>19203.481627644906</v>
      </c>
      <c r="K881" s="566" t="s">
        <v>3083</v>
      </c>
      <c r="L881" s="549"/>
      <c r="M881" s="540"/>
      <c r="O881" s="581"/>
      <c r="S881" s="550"/>
      <c r="T881" s="547"/>
      <c r="U881" s="547"/>
      <c r="V881" s="547"/>
      <c r="W881" s="549"/>
    </row>
    <row r="882" spans="1:23">
      <c r="A882" s="565">
        <v>1576</v>
      </c>
      <c r="B882" s="696" t="s">
        <v>6289</v>
      </c>
      <c r="C882" s="566">
        <f t="shared" si="13"/>
        <v>1576</v>
      </c>
      <c r="D882" s="700" t="s">
        <v>2224</v>
      </c>
      <c r="E882" s="701" t="s">
        <v>8762</v>
      </c>
      <c r="F882" s="566">
        <v>1</v>
      </c>
      <c r="G882" s="662">
        <v>15323.055301005068</v>
      </c>
      <c r="H882" s="662">
        <v>15710.643709776728</v>
      </c>
      <c r="I882" s="662">
        <v>16098.232118548383</v>
      </c>
      <c r="J882" s="662">
        <v>16506.240388293965</v>
      </c>
      <c r="K882" s="566" t="s">
        <v>1247</v>
      </c>
      <c r="L882" s="549"/>
      <c r="M882" s="540"/>
      <c r="O882" s="581"/>
      <c r="S882" s="550"/>
      <c r="T882" s="547"/>
      <c r="U882" s="547"/>
      <c r="V882" s="547"/>
      <c r="W882" s="549"/>
    </row>
    <row r="883" spans="1:23">
      <c r="A883" s="565">
        <v>1577</v>
      </c>
      <c r="B883" s="696" t="s">
        <v>6290</v>
      </c>
      <c r="C883" s="566">
        <f t="shared" si="13"/>
        <v>1577</v>
      </c>
      <c r="D883" s="700" t="s">
        <v>2224</v>
      </c>
      <c r="E883" s="701" t="s">
        <v>8763</v>
      </c>
      <c r="F883" s="566">
        <v>1</v>
      </c>
      <c r="G883" s="662">
        <v>14054.104103929814</v>
      </c>
      <c r="H883" s="662">
        <v>14403.964388616323</v>
      </c>
      <c r="I883" s="662">
        <v>14754.21362303567</v>
      </c>
      <c r="J883" s="662">
        <v>15122.47123008535</v>
      </c>
      <c r="K883" s="566" t="s">
        <v>1248</v>
      </c>
      <c r="L883" s="549"/>
      <c r="M883" s="540"/>
      <c r="O883" s="581"/>
      <c r="S883" s="550"/>
      <c r="T883" s="547"/>
      <c r="U883" s="547"/>
      <c r="V883" s="547"/>
      <c r="W883" s="549"/>
    </row>
    <row r="884" spans="1:23">
      <c r="A884" s="565">
        <v>1578</v>
      </c>
      <c r="B884" s="696" t="s">
        <v>6291</v>
      </c>
      <c r="C884" s="566">
        <f t="shared" si="13"/>
        <v>1578</v>
      </c>
      <c r="D884" s="700" t="s">
        <v>2224</v>
      </c>
      <c r="E884" s="701" t="s">
        <v>8764</v>
      </c>
      <c r="F884" s="566">
        <v>1</v>
      </c>
      <c r="G884" s="662">
        <v>0</v>
      </c>
      <c r="H884" s="662">
        <v>0</v>
      </c>
      <c r="I884" s="662">
        <v>0</v>
      </c>
      <c r="J884" s="662">
        <v>15676.268520809524</v>
      </c>
      <c r="K884" s="566" t="s">
        <v>4745</v>
      </c>
      <c r="L884" s="549"/>
      <c r="M884" s="540"/>
      <c r="O884" s="581"/>
      <c r="S884" s="550"/>
      <c r="T884" s="547"/>
      <c r="U884" s="547"/>
      <c r="V884" s="547"/>
      <c r="W884" s="549"/>
    </row>
    <row r="885" spans="1:23">
      <c r="A885" s="565">
        <v>1579</v>
      </c>
      <c r="B885" s="696" t="s">
        <v>6292</v>
      </c>
      <c r="C885" s="566">
        <f t="shared" si="13"/>
        <v>1579</v>
      </c>
      <c r="D885" s="700" t="s">
        <v>2224</v>
      </c>
      <c r="E885" s="701" t="s">
        <v>8765</v>
      </c>
      <c r="F885" s="566">
        <v>1</v>
      </c>
      <c r="G885" s="662">
        <v>0</v>
      </c>
      <c r="H885" s="662">
        <v>0</v>
      </c>
      <c r="I885" s="662">
        <v>0</v>
      </c>
      <c r="J885" s="662">
        <v>14237.251699383974</v>
      </c>
      <c r="K885" s="566" t="s">
        <v>4746</v>
      </c>
      <c r="L885" s="549"/>
      <c r="M885" s="540"/>
      <c r="O885" s="580"/>
      <c r="S885" s="550"/>
      <c r="T885" s="547"/>
      <c r="U885" s="547"/>
      <c r="V885" s="547"/>
      <c r="W885" s="549"/>
    </row>
    <row r="886" spans="1:23">
      <c r="A886" s="565">
        <v>1580</v>
      </c>
      <c r="B886" s="696" t="s">
        <v>6293</v>
      </c>
      <c r="C886" s="566">
        <f t="shared" si="13"/>
        <v>1580</v>
      </c>
      <c r="D886" s="700" t="s">
        <v>2224</v>
      </c>
      <c r="E886" s="701" t="s">
        <v>8766</v>
      </c>
      <c r="F886" s="566">
        <v>1</v>
      </c>
      <c r="G886" s="662">
        <v>16670.498324703542</v>
      </c>
      <c r="H886" s="662">
        <v>17098.148555957367</v>
      </c>
      <c r="I886" s="662">
        <v>17525.798787211184</v>
      </c>
      <c r="J886" s="662">
        <v>17975.930313022964</v>
      </c>
      <c r="K886" s="566" t="s">
        <v>1249</v>
      </c>
      <c r="L886" s="549"/>
      <c r="M886" s="540"/>
      <c r="O886" s="580"/>
      <c r="S886" s="550"/>
      <c r="T886" s="547"/>
      <c r="U886" s="547"/>
      <c r="V886" s="547"/>
      <c r="W886" s="549"/>
    </row>
    <row r="887" spans="1:23">
      <c r="A887" s="565">
        <v>1581</v>
      </c>
      <c r="B887" s="696" t="s">
        <v>6294</v>
      </c>
      <c r="C887" s="566">
        <f t="shared" si="13"/>
        <v>1581</v>
      </c>
      <c r="D887" s="700" t="s">
        <v>2224</v>
      </c>
      <c r="E887" s="701" t="s">
        <v>8767</v>
      </c>
      <c r="F887" s="566">
        <v>1</v>
      </c>
      <c r="G887" s="662">
        <v>15780.924289640472</v>
      </c>
      <c r="H887" s="662">
        <v>16182.125939061412</v>
      </c>
      <c r="I887" s="662">
        <v>16583.327588482342</v>
      </c>
      <c r="J887" s="662">
        <v>17005.610313423029</v>
      </c>
      <c r="K887" s="566" t="s">
        <v>1250</v>
      </c>
      <c r="L887" s="549"/>
      <c r="M887" s="540"/>
      <c r="O887" s="580"/>
      <c r="S887" s="550"/>
      <c r="T887" s="547"/>
      <c r="U887" s="547"/>
      <c r="V887" s="547"/>
      <c r="W887" s="549"/>
    </row>
    <row r="888" spans="1:23">
      <c r="A888" s="565">
        <v>1582</v>
      </c>
      <c r="B888" s="696" t="s">
        <v>6295</v>
      </c>
      <c r="C888" s="566">
        <f t="shared" si="13"/>
        <v>1582</v>
      </c>
      <c r="D888" s="700" t="s">
        <v>2224</v>
      </c>
      <c r="E888" s="701" t="s">
        <v>8768</v>
      </c>
      <c r="F888" s="566">
        <v>1</v>
      </c>
      <c r="G888" s="662">
        <v>10819.917553406611</v>
      </c>
      <c r="H888" s="662">
        <v>0</v>
      </c>
      <c r="I888" s="662">
        <v>0</v>
      </c>
      <c r="J888" s="662">
        <v>0</v>
      </c>
      <c r="K888" s="566" t="s">
        <v>5262</v>
      </c>
      <c r="L888" s="549"/>
      <c r="M888" s="540"/>
      <c r="O888" s="580"/>
      <c r="S888" s="550"/>
      <c r="T888" s="547"/>
      <c r="U888" s="547"/>
      <c r="V888" s="547"/>
      <c r="W888" s="549"/>
    </row>
    <row r="889" spans="1:23">
      <c r="A889" s="565">
        <v>1583</v>
      </c>
      <c r="B889" s="696" t="s">
        <v>6296</v>
      </c>
      <c r="C889" s="566">
        <f t="shared" si="13"/>
        <v>1583</v>
      </c>
      <c r="D889" s="700" t="s">
        <v>2224</v>
      </c>
      <c r="E889" s="701" t="s">
        <v>8769</v>
      </c>
      <c r="F889" s="566">
        <v>1</v>
      </c>
      <c r="G889" s="662">
        <v>18508.515264797075</v>
      </c>
      <c r="H889" s="662">
        <v>18965.414515960209</v>
      </c>
      <c r="I889" s="662">
        <v>19446.389755585929</v>
      </c>
      <c r="J889" s="662">
        <v>19952.64672784603</v>
      </c>
      <c r="K889" s="566" t="s">
        <v>1251</v>
      </c>
      <c r="L889" s="549"/>
      <c r="M889" s="540"/>
      <c r="O889" s="580"/>
      <c r="S889" s="550"/>
      <c r="T889" s="547"/>
      <c r="U889" s="547"/>
      <c r="V889" s="547"/>
      <c r="W889" s="549"/>
    </row>
    <row r="890" spans="1:23">
      <c r="A890" s="565">
        <v>1584</v>
      </c>
      <c r="B890" s="696" t="s">
        <v>6297</v>
      </c>
      <c r="C890" s="566">
        <f t="shared" si="13"/>
        <v>1584</v>
      </c>
      <c r="D890" s="700" t="s">
        <v>2224</v>
      </c>
      <c r="E890" s="701" t="s">
        <v>8770</v>
      </c>
      <c r="F890" s="566">
        <v>1</v>
      </c>
      <c r="G890" s="662">
        <v>17978.695435090394</v>
      </c>
      <c r="H890" s="662">
        <v>18445.240639627878</v>
      </c>
      <c r="I890" s="662">
        <v>18911.785844165366</v>
      </c>
      <c r="J890" s="662">
        <v>19402.873776844834</v>
      </c>
      <c r="K890" s="566" t="s">
        <v>1252</v>
      </c>
      <c r="L890" s="549"/>
      <c r="M890" s="540"/>
      <c r="O890" s="580"/>
      <c r="S890" s="550"/>
      <c r="T890" s="547"/>
      <c r="U890" s="547"/>
      <c r="V890" s="547"/>
      <c r="W890" s="549"/>
    </row>
    <row r="891" spans="1:23">
      <c r="A891" s="565">
        <v>1585</v>
      </c>
      <c r="B891" s="695" t="s">
        <v>6298</v>
      </c>
      <c r="C891" s="566">
        <f t="shared" si="13"/>
        <v>1585</v>
      </c>
      <c r="D891" s="699" t="s">
        <v>2224</v>
      </c>
      <c r="E891" s="701" t="s">
        <v>8771</v>
      </c>
      <c r="F891" s="567">
        <v>1</v>
      </c>
      <c r="G891" s="662">
        <v>0</v>
      </c>
      <c r="H891" s="662">
        <v>0</v>
      </c>
      <c r="I891" s="662">
        <v>0</v>
      </c>
      <c r="J891" s="662">
        <v>23191.860919982038</v>
      </c>
      <c r="K891" s="568" t="s">
        <v>4747</v>
      </c>
      <c r="L891" s="549"/>
      <c r="M891" s="540"/>
      <c r="O891" s="580"/>
      <c r="S891" s="550"/>
      <c r="T891" s="547"/>
      <c r="U891" s="547"/>
      <c r="V891" s="547"/>
      <c r="W891" s="549"/>
    </row>
    <row r="892" spans="1:23">
      <c r="A892" s="565">
        <v>1586</v>
      </c>
      <c r="B892" s="696" t="s">
        <v>6299</v>
      </c>
      <c r="C892" s="566">
        <f t="shared" si="13"/>
        <v>1586</v>
      </c>
      <c r="D892" s="700" t="s">
        <v>2224</v>
      </c>
      <c r="E892" s="701" t="s">
        <v>8772</v>
      </c>
      <c r="F892" s="566">
        <v>1</v>
      </c>
      <c r="G892" s="662">
        <v>0</v>
      </c>
      <c r="H892" s="662">
        <v>0</v>
      </c>
      <c r="I892" s="662">
        <v>0</v>
      </c>
      <c r="J892" s="662">
        <v>19371.925357652402</v>
      </c>
      <c r="K892" s="566" t="s">
        <v>4748</v>
      </c>
      <c r="L892" s="549"/>
      <c r="M892" s="540"/>
      <c r="O892" s="580"/>
      <c r="S892" s="550"/>
      <c r="T892" s="547"/>
      <c r="U892" s="547"/>
      <c r="V892" s="547"/>
      <c r="W892" s="549"/>
    </row>
    <row r="893" spans="1:23">
      <c r="A893" s="565">
        <v>1587</v>
      </c>
      <c r="B893" s="696" t="s">
        <v>6300</v>
      </c>
      <c r="C893" s="566">
        <f t="shared" si="13"/>
        <v>1587</v>
      </c>
      <c r="D893" s="700" t="s">
        <v>2224</v>
      </c>
      <c r="E893" s="701" t="s">
        <v>8773</v>
      </c>
      <c r="F893" s="566">
        <v>1</v>
      </c>
      <c r="G893" s="662">
        <v>16082.425253101879</v>
      </c>
      <c r="H893" s="662">
        <v>0</v>
      </c>
      <c r="I893" s="662">
        <v>0</v>
      </c>
      <c r="J893" s="662">
        <v>0</v>
      </c>
      <c r="K893" s="566" t="s">
        <v>5263</v>
      </c>
      <c r="L893" s="549"/>
      <c r="M893" s="540"/>
      <c r="O893" s="580"/>
      <c r="S893" s="550"/>
      <c r="T893" s="547"/>
      <c r="U893" s="547"/>
      <c r="V893" s="547"/>
      <c r="W893" s="549"/>
    </row>
    <row r="894" spans="1:23">
      <c r="A894" s="565">
        <v>1588</v>
      </c>
      <c r="B894" s="696" t="s">
        <v>6301</v>
      </c>
      <c r="C894" s="566">
        <f t="shared" si="13"/>
        <v>1588</v>
      </c>
      <c r="D894" s="700" t="s">
        <v>2224</v>
      </c>
      <c r="E894" s="701" t="s">
        <v>8774</v>
      </c>
      <c r="F894" s="566">
        <v>1</v>
      </c>
      <c r="G894" s="662">
        <v>15174.841398459108</v>
      </c>
      <c r="H894" s="662">
        <v>0</v>
      </c>
      <c r="I894" s="662">
        <v>0</v>
      </c>
      <c r="J894" s="662">
        <v>0</v>
      </c>
      <c r="K894" s="566" t="s">
        <v>5264</v>
      </c>
      <c r="L894" s="549"/>
      <c r="M894" s="540"/>
      <c r="O894" s="580"/>
      <c r="S894" s="550"/>
      <c r="T894" s="547"/>
      <c r="U894" s="547"/>
      <c r="V894" s="547"/>
      <c r="W894" s="549"/>
    </row>
    <row r="895" spans="1:23">
      <c r="A895" s="565">
        <v>1589</v>
      </c>
      <c r="B895" s="695" t="s">
        <v>6302</v>
      </c>
      <c r="C895" s="566">
        <f t="shared" si="13"/>
        <v>1589</v>
      </c>
      <c r="D895" s="699" t="s">
        <v>2224</v>
      </c>
      <c r="E895" s="701" t="s">
        <v>8775</v>
      </c>
      <c r="F895" s="567">
        <v>1</v>
      </c>
      <c r="G895" s="662">
        <v>31823.187394530014</v>
      </c>
      <c r="H895" s="662">
        <v>0</v>
      </c>
      <c r="I895" s="662">
        <v>0</v>
      </c>
      <c r="J895" s="662">
        <v>0</v>
      </c>
      <c r="K895" s="568" t="s">
        <v>5265</v>
      </c>
      <c r="L895" s="549"/>
      <c r="M895" s="540"/>
      <c r="O895" s="580"/>
      <c r="S895" s="550"/>
      <c r="T895" s="547"/>
      <c r="U895" s="547"/>
      <c r="V895" s="547"/>
      <c r="W895" s="549"/>
    </row>
    <row r="896" spans="1:23">
      <c r="A896" s="565">
        <v>1590</v>
      </c>
      <c r="B896" s="695" t="s">
        <v>6303</v>
      </c>
      <c r="C896" s="566">
        <f t="shared" si="13"/>
        <v>1590</v>
      </c>
      <c r="D896" s="699" t="s">
        <v>2224</v>
      </c>
      <c r="E896" s="701" t="s">
        <v>8776</v>
      </c>
      <c r="F896" s="567">
        <v>1</v>
      </c>
      <c r="G896" s="662">
        <v>0</v>
      </c>
      <c r="H896" s="662">
        <v>17543.77523279631</v>
      </c>
      <c r="I896" s="662">
        <v>18078.95876334031</v>
      </c>
      <c r="J896" s="662">
        <v>18642.331919165452</v>
      </c>
      <c r="K896" s="568" t="s">
        <v>3084</v>
      </c>
      <c r="L896" s="549"/>
      <c r="M896" s="540"/>
      <c r="O896" s="579"/>
      <c r="S896" s="550"/>
      <c r="T896" s="547"/>
      <c r="U896" s="547"/>
      <c r="V896" s="547"/>
      <c r="W896" s="549"/>
    </row>
    <row r="897" spans="1:23">
      <c r="A897" s="565">
        <v>1591</v>
      </c>
      <c r="B897" s="696" t="s">
        <v>6304</v>
      </c>
      <c r="C897" s="566">
        <f t="shared" si="13"/>
        <v>1591</v>
      </c>
      <c r="D897" s="700" t="s">
        <v>2224</v>
      </c>
      <c r="E897" s="701" t="s">
        <v>8777</v>
      </c>
      <c r="F897" s="566">
        <v>1</v>
      </c>
      <c r="G897" s="662">
        <v>0</v>
      </c>
      <c r="H897" s="662">
        <v>16511.968107668643</v>
      </c>
      <c r="I897" s="662">
        <v>17010.994366777672</v>
      </c>
      <c r="J897" s="662">
        <v>17536.253285445833</v>
      </c>
      <c r="K897" s="566" t="s">
        <v>3085</v>
      </c>
      <c r="L897" s="549"/>
      <c r="M897" s="540"/>
      <c r="O897" s="579"/>
      <c r="S897" s="550"/>
      <c r="T897" s="547"/>
      <c r="U897" s="547"/>
      <c r="V897" s="547"/>
      <c r="W897" s="549"/>
    </row>
    <row r="898" spans="1:23">
      <c r="A898" s="565">
        <v>1592</v>
      </c>
      <c r="B898" s="696" t="s">
        <v>6305</v>
      </c>
      <c r="C898" s="566">
        <f t="shared" si="13"/>
        <v>1592</v>
      </c>
      <c r="D898" s="700" t="s">
        <v>2224</v>
      </c>
      <c r="E898" s="701" t="s">
        <v>8778</v>
      </c>
      <c r="F898" s="566">
        <v>1</v>
      </c>
      <c r="G898" s="662">
        <v>0</v>
      </c>
      <c r="H898" s="662">
        <v>18147.759891407626</v>
      </c>
      <c r="I898" s="662">
        <v>18704.14388393992</v>
      </c>
      <c r="J898" s="662">
        <v>19289.835767880209</v>
      </c>
      <c r="K898" s="566" t="s">
        <v>3086</v>
      </c>
      <c r="L898" s="549"/>
      <c r="M898" s="540"/>
      <c r="O898" s="579"/>
      <c r="S898" s="550"/>
      <c r="T898" s="547"/>
      <c r="U898" s="547"/>
      <c r="V898" s="547"/>
      <c r="W898" s="549"/>
    </row>
    <row r="899" spans="1:23">
      <c r="A899" s="565">
        <v>1593</v>
      </c>
      <c r="B899" s="696" t="s">
        <v>6306</v>
      </c>
      <c r="C899" s="566">
        <f t="shared" si="13"/>
        <v>1593</v>
      </c>
      <c r="D899" s="700" t="s">
        <v>2224</v>
      </c>
      <c r="E899" s="701" t="s">
        <v>8779</v>
      </c>
      <c r="F899" s="566">
        <v>1</v>
      </c>
      <c r="G899" s="662">
        <v>0</v>
      </c>
      <c r="H899" s="662">
        <v>0</v>
      </c>
      <c r="I899" s="662">
        <v>20475.617429805407</v>
      </c>
      <c r="J899" s="662">
        <v>21113.681444020072</v>
      </c>
      <c r="K899" s="566" t="s">
        <v>4006</v>
      </c>
      <c r="L899" s="549"/>
      <c r="M899" s="540"/>
      <c r="O899" s="575"/>
      <c r="S899" s="550"/>
      <c r="T899" s="547"/>
      <c r="U899" s="547"/>
      <c r="V899" s="547"/>
      <c r="W899" s="549"/>
    </row>
    <row r="900" spans="1:23">
      <c r="A900" s="565">
        <v>1594</v>
      </c>
      <c r="B900" s="696" t="s">
        <v>6307</v>
      </c>
      <c r="C900" s="566">
        <f t="shared" si="13"/>
        <v>1594</v>
      </c>
      <c r="D900" s="700" t="s">
        <v>2224</v>
      </c>
      <c r="E900" s="701" t="s">
        <v>8780</v>
      </c>
      <c r="F900" s="566">
        <v>1</v>
      </c>
      <c r="G900" s="662">
        <v>0</v>
      </c>
      <c r="H900" s="662">
        <v>0</v>
      </c>
      <c r="I900" s="662">
        <v>20991.520992369242</v>
      </c>
      <c r="J900" s="662">
        <v>21647.710236723346</v>
      </c>
      <c r="K900" s="566" t="s">
        <v>4007</v>
      </c>
      <c r="L900" s="549"/>
      <c r="M900" s="540"/>
      <c r="O900" s="575"/>
      <c r="S900" s="550"/>
      <c r="T900" s="547"/>
      <c r="U900" s="547"/>
      <c r="V900" s="547"/>
      <c r="W900" s="549"/>
    </row>
    <row r="901" spans="1:23">
      <c r="A901" s="565">
        <v>1595</v>
      </c>
      <c r="B901" s="696" t="s">
        <v>6308</v>
      </c>
      <c r="C901" s="566">
        <f t="shared" si="13"/>
        <v>1595</v>
      </c>
      <c r="D901" s="700" t="s">
        <v>2224</v>
      </c>
      <c r="E901" s="701" t="s">
        <v>8781</v>
      </c>
      <c r="F901" s="566">
        <v>1</v>
      </c>
      <c r="G901" s="662">
        <v>0</v>
      </c>
      <c r="H901" s="662">
        <v>0</v>
      </c>
      <c r="I901" s="662">
        <v>22608.438255526627</v>
      </c>
      <c r="J901" s="662">
        <v>23321.332911396665</v>
      </c>
      <c r="K901" s="566" t="s">
        <v>4008</v>
      </c>
      <c r="L901" s="549"/>
      <c r="M901" s="540"/>
      <c r="O901" s="575"/>
      <c r="S901" s="550"/>
      <c r="T901" s="547"/>
      <c r="U901" s="547"/>
      <c r="V901" s="547"/>
      <c r="W901" s="549"/>
    </row>
    <row r="902" spans="1:23">
      <c r="A902" s="565">
        <v>1596</v>
      </c>
      <c r="B902" s="696" t="s">
        <v>6309</v>
      </c>
      <c r="C902" s="566">
        <f t="shared" si="13"/>
        <v>1596</v>
      </c>
      <c r="D902" s="700" t="s">
        <v>2224</v>
      </c>
      <c r="E902" s="701" t="s">
        <v>8782</v>
      </c>
      <c r="F902" s="566">
        <v>1</v>
      </c>
      <c r="G902" s="662">
        <v>0</v>
      </c>
      <c r="H902" s="662">
        <v>18261.007014897248</v>
      </c>
      <c r="I902" s="662">
        <v>18821.351533295485</v>
      </c>
      <c r="J902" s="662">
        <v>19411.236915211477</v>
      </c>
      <c r="K902" s="566" t="s">
        <v>3087</v>
      </c>
      <c r="L902" s="549"/>
      <c r="M902" s="540"/>
      <c r="O902" s="575"/>
      <c r="S902" s="550"/>
      <c r="T902" s="547"/>
      <c r="U902" s="547"/>
      <c r="V902" s="547"/>
      <c r="W902" s="549"/>
    </row>
    <row r="903" spans="1:23">
      <c r="A903" s="565">
        <v>1597</v>
      </c>
      <c r="B903" s="695" t="s">
        <v>6310</v>
      </c>
      <c r="C903" s="566">
        <f t="shared" si="13"/>
        <v>1597</v>
      </c>
      <c r="D903" s="699" t="s">
        <v>2224</v>
      </c>
      <c r="E903" s="701" t="s">
        <v>8783</v>
      </c>
      <c r="F903" s="567">
        <v>1</v>
      </c>
      <c r="G903" s="662">
        <v>0</v>
      </c>
      <c r="H903" s="662">
        <v>0</v>
      </c>
      <c r="I903" s="662">
        <v>0</v>
      </c>
      <c r="J903" s="662">
        <v>17701.062904309667</v>
      </c>
      <c r="K903" s="568" t="s">
        <v>4749</v>
      </c>
      <c r="L903" s="549"/>
      <c r="M903" s="540"/>
      <c r="O903" s="575"/>
      <c r="S903" s="550"/>
      <c r="T903" s="547"/>
      <c r="U903" s="547"/>
      <c r="V903" s="547"/>
      <c r="W903" s="549"/>
    </row>
    <row r="904" spans="1:23">
      <c r="A904" s="565">
        <v>1598</v>
      </c>
      <c r="B904" s="696" t="s">
        <v>6311</v>
      </c>
      <c r="C904" s="566">
        <f t="shared" si="13"/>
        <v>1598</v>
      </c>
      <c r="D904" s="700" t="s">
        <v>2224</v>
      </c>
      <c r="E904" s="701" t="s">
        <v>8784</v>
      </c>
      <c r="F904" s="566">
        <v>1</v>
      </c>
      <c r="G904" s="662">
        <v>0</v>
      </c>
      <c r="H904" s="662">
        <v>0</v>
      </c>
      <c r="I904" s="662">
        <v>0</v>
      </c>
      <c r="J904" s="662">
        <v>16751.045368368952</v>
      </c>
      <c r="K904" s="566" t="s">
        <v>4750</v>
      </c>
      <c r="L904" s="549"/>
      <c r="M904" s="540"/>
      <c r="O904" s="575"/>
      <c r="S904" s="550"/>
      <c r="T904" s="547"/>
      <c r="U904" s="547"/>
      <c r="V904" s="547"/>
      <c r="W904" s="549"/>
    </row>
    <row r="905" spans="1:23">
      <c r="A905" s="565">
        <v>1599</v>
      </c>
      <c r="B905" s="696" t="s">
        <v>6312</v>
      </c>
      <c r="C905" s="566">
        <f t="shared" ref="C905:C968" si="14">A905</f>
        <v>1599</v>
      </c>
      <c r="D905" s="700" t="s">
        <v>2224</v>
      </c>
      <c r="E905" s="701" t="s">
        <v>8785</v>
      </c>
      <c r="F905" s="566">
        <v>1</v>
      </c>
      <c r="G905" s="662">
        <v>0</v>
      </c>
      <c r="H905" s="662">
        <v>20746.152224808397</v>
      </c>
      <c r="I905" s="662">
        <v>0</v>
      </c>
      <c r="J905" s="662">
        <v>0</v>
      </c>
      <c r="K905" s="566" t="s">
        <v>3088</v>
      </c>
      <c r="L905" s="549"/>
      <c r="M905" s="540"/>
      <c r="O905" s="575"/>
      <c r="S905" s="550"/>
      <c r="T905" s="547"/>
      <c r="U905" s="547"/>
      <c r="V905" s="547"/>
      <c r="W905" s="549"/>
    </row>
    <row r="906" spans="1:23">
      <c r="A906" s="565">
        <v>1600</v>
      </c>
      <c r="B906" s="696" t="s">
        <v>6313</v>
      </c>
      <c r="C906" s="566">
        <f t="shared" si="14"/>
        <v>1600</v>
      </c>
      <c r="D906" s="700" t="s">
        <v>2224</v>
      </c>
      <c r="E906" s="701" t="s">
        <v>8786</v>
      </c>
      <c r="F906" s="566">
        <v>1</v>
      </c>
      <c r="G906" s="662">
        <v>0</v>
      </c>
      <c r="H906" s="662">
        <v>20746.152224808397</v>
      </c>
      <c r="I906" s="662">
        <v>0</v>
      </c>
      <c r="J906" s="662">
        <v>0</v>
      </c>
      <c r="K906" s="566" t="s">
        <v>3089</v>
      </c>
      <c r="L906" s="549"/>
      <c r="M906" s="540"/>
      <c r="O906" s="575"/>
      <c r="S906" s="550"/>
      <c r="T906" s="547"/>
      <c r="U906" s="547"/>
      <c r="V906" s="547"/>
      <c r="W906" s="549"/>
    </row>
    <row r="907" spans="1:23">
      <c r="A907" s="565">
        <v>1601</v>
      </c>
      <c r="B907" s="696" t="s">
        <v>6314</v>
      </c>
      <c r="C907" s="566">
        <f t="shared" si="14"/>
        <v>1601</v>
      </c>
      <c r="D907" s="700" t="s">
        <v>2224</v>
      </c>
      <c r="E907" s="701" t="s">
        <v>8787</v>
      </c>
      <c r="F907" s="566">
        <v>1</v>
      </c>
      <c r="G907" s="662">
        <v>0</v>
      </c>
      <c r="H907" s="662">
        <v>23734.617983562304</v>
      </c>
      <c r="I907" s="662">
        <v>24486.978114825939</v>
      </c>
      <c r="J907" s="662">
        <v>25278.990099170966</v>
      </c>
      <c r="K907" s="566" t="s">
        <v>3090</v>
      </c>
      <c r="L907" s="549"/>
      <c r="M907" s="540"/>
      <c r="O907" s="575"/>
      <c r="S907" s="550"/>
      <c r="T907" s="547"/>
      <c r="U907" s="547"/>
      <c r="V907" s="547"/>
      <c r="W907" s="549"/>
    </row>
    <row r="908" spans="1:23">
      <c r="A908" s="565">
        <v>1602</v>
      </c>
      <c r="B908" s="696" t="s">
        <v>6315</v>
      </c>
      <c r="C908" s="566">
        <f t="shared" si="14"/>
        <v>1602</v>
      </c>
      <c r="D908" s="700" t="s">
        <v>2224</v>
      </c>
      <c r="E908" s="701" t="s">
        <v>8788</v>
      </c>
      <c r="F908" s="566">
        <v>1</v>
      </c>
      <c r="G908" s="662">
        <v>17810.539463416841</v>
      </c>
      <c r="H908" s="662">
        <v>0</v>
      </c>
      <c r="I908" s="662">
        <v>0</v>
      </c>
      <c r="J908" s="662">
        <v>0</v>
      </c>
      <c r="K908" s="566" t="s">
        <v>5266</v>
      </c>
      <c r="L908" s="549"/>
      <c r="M908" s="540"/>
      <c r="O908" s="575"/>
      <c r="S908" s="550"/>
      <c r="T908" s="547"/>
      <c r="U908" s="547"/>
      <c r="V908" s="547"/>
      <c r="W908" s="549"/>
    </row>
    <row r="909" spans="1:23">
      <c r="A909" s="565">
        <v>1603</v>
      </c>
      <c r="B909" s="696" t="s">
        <v>6316</v>
      </c>
      <c r="C909" s="566">
        <f t="shared" si="14"/>
        <v>1603</v>
      </c>
      <c r="D909" s="700" t="s">
        <v>2224</v>
      </c>
      <c r="E909" s="701" t="s">
        <v>8789</v>
      </c>
      <c r="F909" s="566">
        <v>1</v>
      </c>
      <c r="G909" s="662">
        <v>17383.016808848366</v>
      </c>
      <c r="H909" s="662">
        <v>0</v>
      </c>
      <c r="I909" s="662">
        <v>0</v>
      </c>
      <c r="J909" s="662">
        <v>0</v>
      </c>
      <c r="K909" s="566" t="s">
        <v>5267</v>
      </c>
      <c r="L909" s="549"/>
      <c r="M909" s="540"/>
      <c r="O909" s="575"/>
      <c r="S909" s="550"/>
      <c r="T909" s="547"/>
      <c r="U909" s="547"/>
      <c r="V909" s="547"/>
      <c r="W909" s="549"/>
    </row>
    <row r="910" spans="1:23">
      <c r="A910" s="565">
        <v>1604</v>
      </c>
      <c r="B910" s="696" t="s">
        <v>6317</v>
      </c>
      <c r="C910" s="566">
        <f t="shared" si="14"/>
        <v>1604</v>
      </c>
      <c r="D910" s="700" t="s">
        <v>2224</v>
      </c>
      <c r="E910" s="701" t="s">
        <v>8790</v>
      </c>
      <c r="F910" s="566">
        <v>1</v>
      </c>
      <c r="G910" s="662">
        <v>16939.212368537836</v>
      </c>
      <c r="H910" s="662">
        <v>0</v>
      </c>
      <c r="I910" s="662">
        <v>0</v>
      </c>
      <c r="J910" s="662">
        <v>0</v>
      </c>
      <c r="K910" s="566" t="s">
        <v>5268</v>
      </c>
      <c r="L910" s="549"/>
      <c r="M910" s="540"/>
      <c r="O910" s="575"/>
      <c r="S910" s="550"/>
      <c r="T910" s="547"/>
      <c r="U910" s="547"/>
      <c r="V910" s="547"/>
      <c r="W910" s="549"/>
    </row>
    <row r="911" spans="1:23">
      <c r="A911" s="565">
        <v>1605</v>
      </c>
      <c r="B911" s="696" t="s">
        <v>6318</v>
      </c>
      <c r="C911" s="566">
        <f t="shared" si="14"/>
        <v>1605</v>
      </c>
      <c r="D911" s="700" t="s">
        <v>2224</v>
      </c>
      <c r="E911" s="701" t="s">
        <v>8791</v>
      </c>
      <c r="F911" s="566">
        <v>1</v>
      </c>
      <c r="G911" s="662">
        <v>22900.372227981814</v>
      </c>
      <c r="H911" s="662">
        <v>0</v>
      </c>
      <c r="I911" s="662">
        <v>0</v>
      </c>
      <c r="J911" s="662">
        <v>0</v>
      </c>
      <c r="K911" s="566" t="s">
        <v>5269</v>
      </c>
      <c r="L911" s="549"/>
      <c r="M911" s="540"/>
      <c r="O911" s="575"/>
      <c r="S911" s="550"/>
      <c r="T911" s="547"/>
      <c r="U911" s="547"/>
      <c r="V911" s="547"/>
      <c r="W911" s="549"/>
    </row>
    <row r="912" spans="1:23">
      <c r="A912" s="565">
        <v>1606</v>
      </c>
      <c r="B912" s="696" t="s">
        <v>6319</v>
      </c>
      <c r="C912" s="566">
        <f t="shared" si="14"/>
        <v>1606</v>
      </c>
      <c r="D912" s="700" t="s">
        <v>2224</v>
      </c>
      <c r="E912" s="701" t="s">
        <v>8792</v>
      </c>
      <c r="F912" s="566">
        <v>1</v>
      </c>
      <c r="G912" s="662">
        <v>0</v>
      </c>
      <c r="H912" s="662">
        <v>0</v>
      </c>
      <c r="I912" s="662">
        <v>26320.427303242006</v>
      </c>
      <c r="J912" s="662">
        <v>27163.553368468696</v>
      </c>
      <c r="K912" s="566" t="s">
        <v>4009</v>
      </c>
      <c r="L912" s="549"/>
      <c r="M912" s="540"/>
      <c r="O912" s="575"/>
      <c r="S912" s="550"/>
      <c r="T912" s="547"/>
      <c r="U912" s="547"/>
      <c r="V912" s="547"/>
      <c r="W912" s="549"/>
    </row>
    <row r="913" spans="1:23">
      <c r="A913" s="565">
        <v>1607</v>
      </c>
      <c r="B913" s="696" t="s">
        <v>6320</v>
      </c>
      <c r="C913" s="566">
        <f t="shared" si="14"/>
        <v>1607</v>
      </c>
      <c r="D913" s="700" t="s">
        <v>2224</v>
      </c>
      <c r="E913" s="701" t="s">
        <v>8793</v>
      </c>
      <c r="F913" s="566">
        <v>1</v>
      </c>
      <c r="G913" s="662">
        <v>0</v>
      </c>
      <c r="H913" s="662">
        <v>0</v>
      </c>
      <c r="I913" s="662">
        <v>0</v>
      </c>
      <c r="J913" s="662">
        <v>22967.054146577095</v>
      </c>
      <c r="K913" s="566" t="s">
        <v>4751</v>
      </c>
      <c r="L913" s="549"/>
      <c r="M913" s="540"/>
      <c r="O913" s="575"/>
      <c r="S913" s="550"/>
      <c r="T913" s="547"/>
      <c r="U913" s="547"/>
      <c r="V913" s="547"/>
      <c r="W913" s="549"/>
    </row>
    <row r="914" spans="1:23">
      <c r="A914" s="565">
        <v>1608</v>
      </c>
      <c r="B914" s="695" t="s">
        <v>6321</v>
      </c>
      <c r="C914" s="566">
        <f t="shared" si="14"/>
        <v>1608</v>
      </c>
      <c r="D914" s="699" t="s">
        <v>2224</v>
      </c>
      <c r="E914" s="701" t="s">
        <v>8794</v>
      </c>
      <c r="F914" s="567">
        <v>1</v>
      </c>
      <c r="G914" s="662">
        <v>0</v>
      </c>
      <c r="H914" s="662">
        <v>0</v>
      </c>
      <c r="I914" s="662">
        <v>25357.826753580233</v>
      </c>
      <c r="J914" s="662">
        <v>26167.171862891504</v>
      </c>
      <c r="K914" s="568" t="s">
        <v>4010</v>
      </c>
      <c r="L914" s="549"/>
      <c r="M914" s="540"/>
      <c r="O914" s="575"/>
      <c r="S914" s="550"/>
      <c r="T914" s="547"/>
      <c r="U914" s="547"/>
      <c r="V914" s="547"/>
      <c r="W914" s="549"/>
    </row>
    <row r="915" spans="1:23">
      <c r="A915" s="565">
        <v>1609</v>
      </c>
      <c r="B915" s="695" t="s">
        <v>6322</v>
      </c>
      <c r="C915" s="566">
        <f t="shared" si="14"/>
        <v>1609</v>
      </c>
      <c r="D915" s="699" t="s">
        <v>2224</v>
      </c>
      <c r="E915" s="701" t="s">
        <v>8795</v>
      </c>
      <c r="F915" s="567">
        <v>1</v>
      </c>
      <c r="G915" s="662">
        <v>0</v>
      </c>
      <c r="H915" s="662">
        <v>0</v>
      </c>
      <c r="I915" s="662">
        <v>0</v>
      </c>
      <c r="J915" s="662">
        <v>18418.294686410612</v>
      </c>
      <c r="K915" s="568" t="s">
        <v>4752</v>
      </c>
      <c r="L915" s="549"/>
      <c r="M915" s="540"/>
      <c r="O915" s="575"/>
      <c r="S915" s="550"/>
      <c r="T915" s="547"/>
      <c r="U915" s="547"/>
      <c r="V915" s="547"/>
      <c r="W915" s="549"/>
    </row>
    <row r="916" spans="1:23">
      <c r="A916" s="565">
        <v>1610</v>
      </c>
      <c r="B916" s="696" t="s">
        <v>6323</v>
      </c>
      <c r="C916" s="566">
        <f t="shared" si="14"/>
        <v>1610</v>
      </c>
      <c r="D916" s="700" t="s">
        <v>2224</v>
      </c>
      <c r="E916" s="701" t="s">
        <v>8796</v>
      </c>
      <c r="F916" s="566">
        <v>1</v>
      </c>
      <c r="G916" s="662">
        <v>0</v>
      </c>
      <c r="H916" s="662">
        <v>0</v>
      </c>
      <c r="I916" s="662">
        <v>0</v>
      </c>
      <c r="J916" s="662">
        <v>18418.294686410612</v>
      </c>
      <c r="K916" s="566" t="s">
        <v>4753</v>
      </c>
      <c r="L916" s="549"/>
      <c r="M916" s="540"/>
      <c r="O916" s="575"/>
      <c r="S916" s="550"/>
      <c r="T916" s="547"/>
      <c r="U916" s="547"/>
      <c r="V916" s="547"/>
      <c r="W916" s="549"/>
    </row>
    <row r="917" spans="1:23">
      <c r="A917" s="565">
        <v>1611</v>
      </c>
      <c r="B917" s="695" t="s">
        <v>6324</v>
      </c>
      <c r="C917" s="566">
        <f t="shared" si="14"/>
        <v>1611</v>
      </c>
      <c r="D917" s="699" t="s">
        <v>2224</v>
      </c>
      <c r="E917" s="701" t="s">
        <v>8797</v>
      </c>
      <c r="F917" s="567">
        <v>1</v>
      </c>
      <c r="G917" s="662">
        <v>0</v>
      </c>
      <c r="H917" s="662">
        <v>0</v>
      </c>
      <c r="I917" s="662">
        <v>0</v>
      </c>
      <c r="J917" s="662">
        <v>20532.240991550221</v>
      </c>
      <c r="K917" s="568" t="s">
        <v>4754</v>
      </c>
      <c r="L917" s="549"/>
      <c r="M917" s="540"/>
      <c r="O917" s="575"/>
      <c r="S917" s="550"/>
      <c r="T917" s="547"/>
      <c r="U917" s="547"/>
      <c r="V917" s="547"/>
      <c r="W917" s="549"/>
    </row>
    <row r="918" spans="1:23">
      <c r="A918" s="565">
        <v>1612</v>
      </c>
      <c r="B918" s="696" t="s">
        <v>6325</v>
      </c>
      <c r="C918" s="566">
        <f t="shared" si="14"/>
        <v>1612</v>
      </c>
      <c r="D918" s="700" t="s">
        <v>2224</v>
      </c>
      <c r="E918" s="701" t="s">
        <v>8798</v>
      </c>
      <c r="F918" s="566">
        <v>1</v>
      </c>
      <c r="G918" s="662">
        <v>0</v>
      </c>
      <c r="H918" s="662">
        <v>0</v>
      </c>
      <c r="I918" s="662">
        <v>0</v>
      </c>
      <c r="J918" s="662">
        <v>19670.304551656995</v>
      </c>
      <c r="K918" s="566" t="s">
        <v>4755</v>
      </c>
      <c r="L918" s="549"/>
      <c r="M918" s="540"/>
      <c r="O918" s="575"/>
      <c r="S918" s="550"/>
      <c r="T918" s="547"/>
      <c r="U918" s="547"/>
      <c r="V918" s="547"/>
      <c r="W918" s="549"/>
    </row>
    <row r="919" spans="1:23">
      <c r="A919" s="565">
        <v>1613</v>
      </c>
      <c r="B919" s="696" t="s">
        <v>6326</v>
      </c>
      <c r="C919" s="566">
        <f t="shared" si="14"/>
        <v>1613</v>
      </c>
      <c r="D919" s="700" t="s">
        <v>2224</v>
      </c>
      <c r="E919" s="701" t="s">
        <v>8799</v>
      </c>
      <c r="F919" s="566">
        <v>1</v>
      </c>
      <c r="G919" s="662">
        <v>0</v>
      </c>
      <c r="H919" s="662">
        <v>0</v>
      </c>
      <c r="I919" s="662">
        <v>0</v>
      </c>
      <c r="J919" s="662">
        <v>19670.304551656995</v>
      </c>
      <c r="K919" s="566" t="s">
        <v>4756</v>
      </c>
      <c r="L919" s="549"/>
      <c r="M919" s="540"/>
      <c r="O919" s="575"/>
      <c r="S919" s="550"/>
      <c r="T919" s="547"/>
      <c r="U919" s="547"/>
      <c r="V919" s="547"/>
      <c r="W919" s="549"/>
    </row>
    <row r="920" spans="1:23">
      <c r="A920" s="565">
        <v>1614</v>
      </c>
      <c r="B920" s="696" t="s">
        <v>6327</v>
      </c>
      <c r="C920" s="566">
        <f t="shared" si="14"/>
        <v>1614</v>
      </c>
      <c r="D920" s="700" t="s">
        <v>2224</v>
      </c>
      <c r="E920" s="701" t="s">
        <v>8800</v>
      </c>
      <c r="F920" s="566">
        <v>1</v>
      </c>
      <c r="G920" s="662">
        <v>19873.27263196481</v>
      </c>
      <c r="H920" s="662">
        <v>20424.656432070402</v>
      </c>
      <c r="I920" s="662">
        <v>0</v>
      </c>
      <c r="J920" s="662">
        <v>0</v>
      </c>
      <c r="K920" s="566" t="s">
        <v>3091</v>
      </c>
      <c r="L920" s="549"/>
      <c r="M920" s="540"/>
      <c r="O920" s="575"/>
      <c r="S920" s="550"/>
      <c r="T920" s="547"/>
      <c r="U920" s="547"/>
      <c r="V920" s="547"/>
      <c r="W920" s="549"/>
    </row>
    <row r="921" spans="1:23">
      <c r="A921" s="565">
        <v>1615</v>
      </c>
      <c r="B921" s="696" t="s">
        <v>6328</v>
      </c>
      <c r="C921" s="566">
        <f t="shared" si="14"/>
        <v>1615</v>
      </c>
      <c r="D921" s="700" t="s">
        <v>2224</v>
      </c>
      <c r="E921" s="701" t="s">
        <v>8801</v>
      </c>
      <c r="F921" s="566">
        <v>1</v>
      </c>
      <c r="G921" s="662">
        <v>13674.961200702572</v>
      </c>
      <c r="H921" s="662">
        <v>14053.853768675141</v>
      </c>
      <c r="I921" s="662">
        <v>14452.688050751523</v>
      </c>
      <c r="J921" s="662">
        <v>14872.505549665262</v>
      </c>
      <c r="K921" s="566" t="s">
        <v>1253</v>
      </c>
      <c r="L921" s="549"/>
      <c r="M921" s="540"/>
      <c r="O921" s="575"/>
      <c r="S921" s="550"/>
      <c r="T921" s="547"/>
      <c r="U921" s="547"/>
      <c r="V921" s="547"/>
      <c r="W921" s="549"/>
    </row>
    <row r="922" spans="1:23">
      <c r="A922" s="565">
        <v>1616</v>
      </c>
      <c r="B922" s="696" t="s">
        <v>6329</v>
      </c>
      <c r="C922" s="566">
        <f t="shared" si="14"/>
        <v>1616</v>
      </c>
      <c r="D922" s="700" t="s">
        <v>2224</v>
      </c>
      <c r="E922" s="701" t="s">
        <v>8802</v>
      </c>
      <c r="F922" s="566">
        <v>1</v>
      </c>
      <c r="G922" s="662">
        <v>14254.842810491531</v>
      </c>
      <c r="H922" s="662">
        <v>14653.033811467792</v>
      </c>
      <c r="I922" s="662">
        <v>15072.177396848065</v>
      </c>
      <c r="J922" s="662">
        <v>15513.376334232566</v>
      </c>
      <c r="K922" s="566" t="s">
        <v>1254</v>
      </c>
      <c r="L922" s="549"/>
      <c r="M922" s="540"/>
      <c r="O922" s="575"/>
      <c r="S922" s="550"/>
      <c r="T922" s="547"/>
      <c r="U922" s="547"/>
      <c r="V922" s="547"/>
      <c r="W922" s="549"/>
    </row>
    <row r="923" spans="1:23">
      <c r="A923" s="565">
        <v>1617</v>
      </c>
      <c r="B923" s="696" t="s">
        <v>6330</v>
      </c>
      <c r="C923" s="566">
        <f t="shared" si="14"/>
        <v>1617</v>
      </c>
      <c r="D923" s="700" t="s">
        <v>2224</v>
      </c>
      <c r="E923" s="701" t="s">
        <v>8803</v>
      </c>
      <c r="F923" s="566">
        <v>1</v>
      </c>
      <c r="G923" s="662">
        <v>14961.958550742358</v>
      </c>
      <c r="H923" s="662">
        <v>15367.562600586705</v>
      </c>
      <c r="I923" s="662">
        <v>0</v>
      </c>
      <c r="J923" s="662">
        <v>0</v>
      </c>
      <c r="K923" s="566" t="s">
        <v>1255</v>
      </c>
      <c r="L923" s="549"/>
      <c r="M923" s="540"/>
      <c r="O923" s="575"/>
      <c r="S923" s="550"/>
      <c r="T923" s="547"/>
      <c r="U923" s="547"/>
      <c r="V923" s="547"/>
      <c r="W923" s="549"/>
    </row>
    <row r="924" spans="1:23">
      <c r="A924" s="565">
        <v>1618</v>
      </c>
      <c r="B924" s="695" t="s">
        <v>6331</v>
      </c>
      <c r="C924" s="566">
        <f t="shared" si="14"/>
        <v>1618</v>
      </c>
      <c r="D924" s="699" t="s">
        <v>2224</v>
      </c>
      <c r="E924" s="701" t="s">
        <v>8804</v>
      </c>
      <c r="F924" s="567">
        <v>1</v>
      </c>
      <c r="G924" s="662">
        <v>0</v>
      </c>
      <c r="H924" s="662">
        <v>18870.224247466387</v>
      </c>
      <c r="I924" s="662">
        <v>19896.196337296209</v>
      </c>
      <c r="J924" s="662">
        <v>20436.184872199628</v>
      </c>
      <c r="K924" s="568" t="s">
        <v>4011</v>
      </c>
      <c r="L924" s="549"/>
      <c r="M924" s="540"/>
      <c r="O924" s="575"/>
      <c r="S924" s="550"/>
      <c r="T924" s="547"/>
      <c r="U924" s="547"/>
      <c r="V924" s="547"/>
      <c r="W924" s="549"/>
    </row>
    <row r="925" spans="1:23">
      <c r="A925" s="565">
        <v>1619</v>
      </c>
      <c r="B925" s="695" t="s">
        <v>6332</v>
      </c>
      <c r="C925" s="566">
        <f t="shared" si="14"/>
        <v>1619</v>
      </c>
      <c r="D925" s="699" t="s">
        <v>2224</v>
      </c>
      <c r="E925" s="701" t="s">
        <v>8805</v>
      </c>
      <c r="F925" s="567">
        <v>1</v>
      </c>
      <c r="G925" s="662">
        <v>0</v>
      </c>
      <c r="H925" s="662">
        <v>20296.226638192529</v>
      </c>
      <c r="I925" s="662">
        <v>21410.420136039247</v>
      </c>
      <c r="J925" s="662">
        <v>21996.816807451556</v>
      </c>
      <c r="K925" s="568" t="s">
        <v>4012</v>
      </c>
      <c r="L925" s="549"/>
      <c r="M925" s="540"/>
      <c r="O925" s="575"/>
      <c r="S925" s="550"/>
      <c r="T925" s="547"/>
      <c r="U925" s="547"/>
      <c r="V925" s="547"/>
      <c r="W925" s="549"/>
    </row>
    <row r="926" spans="1:23">
      <c r="A926" s="565">
        <v>1620</v>
      </c>
      <c r="B926" s="695" t="s">
        <v>6333</v>
      </c>
      <c r="C926" s="566">
        <f t="shared" si="14"/>
        <v>1620</v>
      </c>
      <c r="D926" s="699" t="s">
        <v>2224</v>
      </c>
      <c r="E926" s="701" t="s">
        <v>8806</v>
      </c>
      <c r="F926" s="567">
        <v>1</v>
      </c>
      <c r="G926" s="662">
        <v>18407.739170634402</v>
      </c>
      <c r="H926" s="662">
        <v>0</v>
      </c>
      <c r="I926" s="662">
        <v>0</v>
      </c>
      <c r="J926" s="662">
        <v>0</v>
      </c>
      <c r="K926" s="568" t="s">
        <v>5270</v>
      </c>
      <c r="L926" s="549"/>
      <c r="M926" s="540"/>
      <c r="O926" s="575"/>
      <c r="S926" s="550"/>
      <c r="T926" s="547"/>
      <c r="U926" s="547"/>
      <c r="V926" s="547"/>
      <c r="W926" s="549"/>
    </row>
    <row r="927" spans="1:23">
      <c r="A927" s="565">
        <v>1621</v>
      </c>
      <c r="B927" s="695" t="s">
        <v>6334</v>
      </c>
      <c r="C927" s="566">
        <f t="shared" si="14"/>
        <v>1621</v>
      </c>
      <c r="D927" s="699" t="s">
        <v>2224</v>
      </c>
      <c r="E927" s="701" t="s">
        <v>8807</v>
      </c>
      <c r="F927" s="567">
        <v>1</v>
      </c>
      <c r="G927" s="662">
        <v>19091.654785921924</v>
      </c>
      <c r="H927" s="662">
        <v>19618.532639356166</v>
      </c>
      <c r="I927" s="662">
        <v>0</v>
      </c>
      <c r="J927" s="662">
        <v>0</v>
      </c>
      <c r="K927" s="568" t="s">
        <v>1256</v>
      </c>
      <c r="L927" s="549"/>
      <c r="M927" s="540"/>
      <c r="O927" s="575"/>
      <c r="S927" s="550"/>
      <c r="T927" s="547"/>
      <c r="U927" s="547"/>
      <c r="V927" s="547"/>
      <c r="W927" s="549"/>
    </row>
    <row r="928" spans="1:23">
      <c r="A928" s="565">
        <v>1622</v>
      </c>
      <c r="B928" s="695" t="s">
        <v>6335</v>
      </c>
      <c r="C928" s="566">
        <f t="shared" si="14"/>
        <v>1622</v>
      </c>
      <c r="D928" s="699" t="s">
        <v>2224</v>
      </c>
      <c r="E928" s="701" t="s">
        <v>8808</v>
      </c>
      <c r="F928" s="567">
        <v>1</v>
      </c>
      <c r="G928" s="662">
        <v>19091.654785921924</v>
      </c>
      <c r="H928" s="662">
        <v>19618.532639356166</v>
      </c>
      <c r="I928" s="662">
        <v>0</v>
      </c>
      <c r="J928" s="662">
        <v>0</v>
      </c>
      <c r="K928" s="568" t="s">
        <v>1257</v>
      </c>
      <c r="L928" s="549"/>
      <c r="M928" s="540"/>
      <c r="O928" s="575"/>
      <c r="S928" s="550"/>
      <c r="T928" s="547"/>
      <c r="U928" s="547"/>
      <c r="V928" s="547"/>
      <c r="W928" s="549"/>
    </row>
    <row r="929" spans="1:23">
      <c r="A929" s="565">
        <v>1623</v>
      </c>
      <c r="B929" s="696" t="s">
        <v>6336</v>
      </c>
      <c r="C929" s="566">
        <f t="shared" si="14"/>
        <v>1623</v>
      </c>
      <c r="D929" s="700" t="s">
        <v>2224</v>
      </c>
      <c r="E929" s="701" t="s">
        <v>8809</v>
      </c>
      <c r="F929" s="566">
        <v>1</v>
      </c>
      <c r="G929" s="662">
        <v>0</v>
      </c>
      <c r="H929" s="662">
        <v>0</v>
      </c>
      <c r="I929" s="662">
        <v>24049.10625356013</v>
      </c>
      <c r="J929" s="662">
        <v>24716.433813854608</v>
      </c>
      <c r="K929" s="566" t="s">
        <v>4013</v>
      </c>
      <c r="L929" s="549"/>
      <c r="M929" s="540"/>
      <c r="O929" s="575"/>
      <c r="S929" s="550"/>
      <c r="T929" s="547"/>
      <c r="U929" s="547"/>
      <c r="V929" s="547"/>
      <c r="W929" s="549"/>
    </row>
    <row r="930" spans="1:23">
      <c r="A930" s="565">
        <v>1624</v>
      </c>
      <c r="B930" s="696" t="s">
        <v>6337</v>
      </c>
      <c r="C930" s="566">
        <f t="shared" si="14"/>
        <v>1624</v>
      </c>
      <c r="D930" s="700" t="s">
        <v>2224</v>
      </c>
      <c r="E930" s="701" t="s">
        <v>8810</v>
      </c>
      <c r="F930" s="566">
        <v>2</v>
      </c>
      <c r="G930" s="662">
        <v>31919.768444109719</v>
      </c>
      <c r="H930" s="662">
        <v>33059.137740000806</v>
      </c>
      <c r="I930" s="662">
        <v>34258.488136335116</v>
      </c>
      <c r="J930" s="662">
        <v>35520.943177211215</v>
      </c>
      <c r="K930" s="566" t="s">
        <v>1258</v>
      </c>
      <c r="L930" s="549"/>
      <c r="M930" s="540"/>
      <c r="O930" s="575"/>
      <c r="S930" s="550"/>
      <c r="T930" s="547"/>
      <c r="U930" s="547"/>
      <c r="V930" s="547"/>
      <c r="W930" s="549"/>
    </row>
    <row r="931" spans="1:23">
      <c r="A931" s="565">
        <v>1625</v>
      </c>
      <c r="B931" s="696" t="s">
        <v>6338</v>
      </c>
      <c r="C931" s="566">
        <f t="shared" si="14"/>
        <v>1625</v>
      </c>
      <c r="D931" s="700" t="s">
        <v>2224</v>
      </c>
      <c r="E931" s="701" t="s">
        <v>8811</v>
      </c>
      <c r="F931" s="566">
        <v>2</v>
      </c>
      <c r="G931" s="662">
        <v>34696.429177900864</v>
      </c>
      <c r="H931" s="662">
        <v>35977.218064572822</v>
      </c>
      <c r="I931" s="662">
        <v>37325.412127516458</v>
      </c>
      <c r="J931" s="662">
        <v>38744.587598380836</v>
      </c>
      <c r="K931" s="566" t="s">
        <v>1259</v>
      </c>
      <c r="L931" s="549"/>
      <c r="M931" s="540"/>
      <c r="O931" s="575"/>
      <c r="S931" s="550"/>
      <c r="T931" s="547"/>
      <c r="U931" s="547"/>
      <c r="V931" s="547"/>
      <c r="W931" s="549"/>
    </row>
    <row r="932" spans="1:23">
      <c r="A932" s="565">
        <v>1626</v>
      </c>
      <c r="B932" s="696" t="s">
        <v>6339</v>
      </c>
      <c r="C932" s="566">
        <f t="shared" si="14"/>
        <v>1626</v>
      </c>
      <c r="D932" s="700" t="s">
        <v>2224</v>
      </c>
      <c r="E932" s="701" t="s">
        <v>8812</v>
      </c>
      <c r="F932" s="566">
        <v>1</v>
      </c>
      <c r="G932" s="662">
        <v>26099.611899818636</v>
      </c>
      <c r="H932" s="662">
        <v>26743.359439303153</v>
      </c>
      <c r="I932" s="662">
        <v>27353.208188821078</v>
      </c>
      <c r="J932" s="662">
        <v>27995.180251725262</v>
      </c>
      <c r="K932" s="566" t="s">
        <v>1260</v>
      </c>
      <c r="L932" s="549"/>
      <c r="M932" s="540"/>
      <c r="O932" s="575"/>
      <c r="S932" s="550"/>
      <c r="T932" s="547"/>
      <c r="U932" s="547"/>
      <c r="V932" s="547"/>
      <c r="W932" s="549"/>
    </row>
    <row r="933" spans="1:23">
      <c r="A933" s="565">
        <v>1627</v>
      </c>
      <c r="B933" s="696" t="s">
        <v>6340</v>
      </c>
      <c r="C933" s="566">
        <f t="shared" si="14"/>
        <v>1627</v>
      </c>
      <c r="D933" s="700" t="s">
        <v>2224</v>
      </c>
      <c r="E933" s="701" t="s">
        <v>8813</v>
      </c>
      <c r="F933" s="566">
        <v>1</v>
      </c>
      <c r="G933" s="662">
        <v>23382.73695411444</v>
      </c>
      <c r="H933" s="662">
        <v>0</v>
      </c>
      <c r="I933" s="662">
        <v>0</v>
      </c>
      <c r="J933" s="662">
        <v>0</v>
      </c>
      <c r="K933" s="566" t="s">
        <v>5271</v>
      </c>
      <c r="L933" s="549"/>
      <c r="M933" s="540"/>
      <c r="O933" s="575"/>
      <c r="S933" s="550"/>
      <c r="T933" s="547"/>
      <c r="U933" s="547"/>
      <c r="V933" s="547"/>
      <c r="W933" s="549"/>
    </row>
    <row r="934" spans="1:23">
      <c r="A934" s="565">
        <v>1628</v>
      </c>
      <c r="B934" s="696" t="s">
        <v>6341</v>
      </c>
      <c r="C934" s="566">
        <f t="shared" si="14"/>
        <v>1628</v>
      </c>
      <c r="D934" s="700" t="s">
        <v>2224</v>
      </c>
      <c r="E934" s="701" t="s">
        <v>8814</v>
      </c>
      <c r="F934" s="566">
        <v>1</v>
      </c>
      <c r="G934" s="662">
        <v>25916.641840886412</v>
      </c>
      <c r="H934" s="662">
        <v>26812.448306527709</v>
      </c>
      <c r="I934" s="662">
        <v>27755.402480886965</v>
      </c>
      <c r="J934" s="662">
        <v>28748.005046965318</v>
      </c>
      <c r="K934" s="566" t="s">
        <v>1261</v>
      </c>
      <c r="L934" s="549"/>
      <c r="M934" s="540"/>
      <c r="O934" s="575"/>
      <c r="S934" s="550"/>
      <c r="T934" s="547"/>
      <c r="U934" s="547"/>
      <c r="V934" s="547"/>
      <c r="W934" s="549"/>
    </row>
    <row r="935" spans="1:23">
      <c r="A935" s="565">
        <v>1629</v>
      </c>
      <c r="B935" s="696" t="s">
        <v>6342</v>
      </c>
      <c r="C935" s="566">
        <f t="shared" si="14"/>
        <v>1629</v>
      </c>
      <c r="D935" s="700" t="s">
        <v>2224</v>
      </c>
      <c r="E935" s="701" t="s">
        <v>8815</v>
      </c>
      <c r="F935" s="566">
        <v>1</v>
      </c>
      <c r="G935" s="662">
        <v>0</v>
      </c>
      <c r="H935" s="662">
        <v>0</v>
      </c>
      <c r="I935" s="662">
        <v>26423.024689048045</v>
      </c>
      <c r="J935" s="662">
        <v>27363.674863338849</v>
      </c>
      <c r="K935" s="566" t="s">
        <v>4014</v>
      </c>
      <c r="L935" s="549"/>
      <c r="M935" s="540"/>
      <c r="O935" s="575"/>
      <c r="S935" s="550"/>
      <c r="T935" s="547"/>
      <c r="U935" s="547"/>
      <c r="V935" s="547"/>
      <c r="W935" s="549"/>
    </row>
    <row r="936" spans="1:23">
      <c r="A936" s="565">
        <v>1630</v>
      </c>
      <c r="B936" s="696" t="s">
        <v>6343</v>
      </c>
      <c r="C936" s="566">
        <f t="shared" si="14"/>
        <v>1630</v>
      </c>
      <c r="D936" s="700" t="s">
        <v>2224</v>
      </c>
      <c r="E936" s="701" t="s">
        <v>8816</v>
      </c>
      <c r="F936" s="566">
        <v>1</v>
      </c>
      <c r="G936" s="662">
        <v>0</v>
      </c>
      <c r="H936" s="662">
        <v>16124.918239353225</v>
      </c>
      <c r="I936" s="662">
        <v>16469.983027933329</v>
      </c>
      <c r="J936" s="662">
        <v>16833.223571608913</v>
      </c>
      <c r="K936" s="566" t="s">
        <v>3092</v>
      </c>
      <c r="L936" s="549"/>
      <c r="M936" s="540"/>
      <c r="O936" s="575"/>
      <c r="S936" s="550"/>
      <c r="T936" s="547"/>
      <c r="U936" s="547"/>
      <c r="V936" s="547"/>
      <c r="W936" s="549"/>
    </row>
    <row r="937" spans="1:23">
      <c r="A937" s="565">
        <v>1631</v>
      </c>
      <c r="B937" s="696" t="s">
        <v>6344</v>
      </c>
      <c r="C937" s="566">
        <f t="shared" si="14"/>
        <v>1631</v>
      </c>
      <c r="D937" s="700" t="s">
        <v>2224</v>
      </c>
      <c r="E937" s="701" t="s">
        <v>8817</v>
      </c>
      <c r="F937" s="566">
        <v>1</v>
      </c>
      <c r="G937" s="662">
        <v>18333.856497613942</v>
      </c>
      <c r="H937" s="662">
        <v>18756.236884908361</v>
      </c>
      <c r="I937" s="662">
        <v>19200.838185280245</v>
      </c>
      <c r="J937" s="662">
        <v>19668.850151077218</v>
      </c>
      <c r="K937" s="566" t="s">
        <v>1262</v>
      </c>
      <c r="L937" s="549"/>
      <c r="M937" s="540"/>
      <c r="O937" s="575"/>
      <c r="S937" s="550"/>
      <c r="T937" s="547"/>
      <c r="U937" s="547"/>
      <c r="V937" s="547"/>
      <c r="W937" s="549"/>
    </row>
    <row r="938" spans="1:23">
      <c r="A938" s="565">
        <v>1632</v>
      </c>
      <c r="B938" s="696" t="s">
        <v>6345</v>
      </c>
      <c r="C938" s="566">
        <f t="shared" si="14"/>
        <v>1632</v>
      </c>
      <c r="D938" s="700" t="s">
        <v>2224</v>
      </c>
      <c r="E938" s="701" t="s">
        <v>8818</v>
      </c>
      <c r="F938" s="566">
        <v>1</v>
      </c>
      <c r="G938" s="662">
        <v>0</v>
      </c>
      <c r="H938" s="662">
        <v>0</v>
      </c>
      <c r="I938" s="662">
        <v>19561.482509828187</v>
      </c>
      <c r="J938" s="662">
        <v>19992.264379085165</v>
      </c>
      <c r="K938" s="566" t="s">
        <v>4015</v>
      </c>
      <c r="L938" s="549"/>
      <c r="M938" s="540"/>
      <c r="O938" s="575"/>
      <c r="S938" s="550"/>
      <c r="T938" s="547"/>
      <c r="U938" s="547"/>
      <c r="V938" s="547"/>
      <c r="W938" s="549"/>
    </row>
    <row r="939" spans="1:23">
      <c r="A939" s="565">
        <v>1633</v>
      </c>
      <c r="B939" s="696" t="s">
        <v>6346</v>
      </c>
      <c r="C939" s="566">
        <f t="shared" si="14"/>
        <v>1633</v>
      </c>
      <c r="D939" s="700" t="s">
        <v>2224</v>
      </c>
      <c r="E939" s="701" t="s">
        <v>8819</v>
      </c>
      <c r="F939" s="566">
        <v>1</v>
      </c>
      <c r="G939" s="662">
        <v>0</v>
      </c>
      <c r="H939" s="662">
        <v>0</v>
      </c>
      <c r="I939" s="662">
        <v>20952.241016697852</v>
      </c>
      <c r="J939" s="662">
        <v>21417.690438976839</v>
      </c>
      <c r="K939" s="566" t="s">
        <v>4016</v>
      </c>
      <c r="L939" s="549"/>
      <c r="M939" s="540"/>
      <c r="O939" s="575"/>
      <c r="S939" s="550"/>
      <c r="T939" s="547"/>
      <c r="U939" s="547"/>
      <c r="V939" s="547"/>
      <c r="W939" s="549"/>
    </row>
    <row r="940" spans="1:23">
      <c r="A940" s="565">
        <v>1634</v>
      </c>
      <c r="B940" s="696" t="s">
        <v>6347</v>
      </c>
      <c r="C940" s="566">
        <f t="shared" si="14"/>
        <v>1634</v>
      </c>
      <c r="D940" s="700" t="s">
        <v>2224</v>
      </c>
      <c r="E940" s="701" t="s">
        <v>8820</v>
      </c>
      <c r="F940" s="566">
        <v>1</v>
      </c>
      <c r="G940" s="662">
        <v>0</v>
      </c>
      <c r="H940" s="662">
        <v>0</v>
      </c>
      <c r="I940" s="662">
        <v>23733.758030437188</v>
      </c>
      <c r="J940" s="662">
        <v>24268.579166524712</v>
      </c>
      <c r="K940" s="566" t="s">
        <v>4017</v>
      </c>
      <c r="L940" s="549"/>
      <c r="M940" s="540"/>
      <c r="O940" s="575"/>
      <c r="S940" s="550"/>
      <c r="T940" s="547"/>
      <c r="U940" s="547"/>
      <c r="V940" s="547"/>
      <c r="W940" s="549"/>
    </row>
    <row r="941" spans="1:23">
      <c r="A941" s="565">
        <v>1635</v>
      </c>
      <c r="B941" s="696" t="s">
        <v>6348</v>
      </c>
      <c r="C941" s="566">
        <f t="shared" si="14"/>
        <v>1635</v>
      </c>
      <c r="D941" s="700" t="s">
        <v>2224</v>
      </c>
      <c r="E941" s="701" t="s">
        <v>8821</v>
      </c>
      <c r="F941" s="566">
        <v>1</v>
      </c>
      <c r="G941" s="662">
        <v>0</v>
      </c>
      <c r="H941" s="662">
        <v>0</v>
      </c>
      <c r="I941" s="662">
        <v>24602.982097230732</v>
      </c>
      <c r="J941" s="662">
        <v>25159.475029927573</v>
      </c>
      <c r="K941" s="566" t="s">
        <v>4018</v>
      </c>
      <c r="L941" s="549"/>
      <c r="M941" s="540"/>
      <c r="O941" s="575"/>
      <c r="S941" s="550"/>
      <c r="T941" s="547"/>
      <c r="U941" s="547"/>
      <c r="V941" s="547"/>
      <c r="W941" s="549"/>
    </row>
    <row r="942" spans="1:23">
      <c r="A942" s="565">
        <v>1636</v>
      </c>
      <c r="B942" s="696" t="s">
        <v>6349</v>
      </c>
      <c r="C942" s="566">
        <f t="shared" si="14"/>
        <v>1636</v>
      </c>
      <c r="D942" s="700" t="s">
        <v>2224</v>
      </c>
      <c r="E942" s="701" t="s">
        <v>8822</v>
      </c>
      <c r="F942" s="566">
        <v>1</v>
      </c>
      <c r="G942" s="662">
        <v>36437.911052164025</v>
      </c>
      <c r="H942" s="662">
        <v>37390.488159361696</v>
      </c>
      <c r="I942" s="662">
        <v>38393.2009037803</v>
      </c>
      <c r="J942" s="662">
        <v>39448.688003168289</v>
      </c>
      <c r="K942" s="566" t="s">
        <v>1263</v>
      </c>
      <c r="L942" s="549"/>
      <c r="M942" s="540"/>
      <c r="O942" s="575"/>
      <c r="S942" s="550"/>
      <c r="T942" s="547"/>
      <c r="U942" s="547"/>
      <c r="V942" s="547"/>
      <c r="W942" s="549"/>
    </row>
    <row r="943" spans="1:23">
      <c r="A943" s="565">
        <v>1637</v>
      </c>
      <c r="B943" s="696" t="s">
        <v>6350</v>
      </c>
      <c r="C943" s="566">
        <f t="shared" si="14"/>
        <v>1637</v>
      </c>
      <c r="D943" s="700" t="s">
        <v>2224</v>
      </c>
      <c r="E943" s="701" t="s">
        <v>8823</v>
      </c>
      <c r="F943" s="566">
        <v>1</v>
      </c>
      <c r="G943" s="662">
        <v>33792.4357928584</v>
      </c>
      <c r="H943" s="662">
        <v>34671.223043018501</v>
      </c>
      <c r="I943" s="662">
        <v>35596.258533716522</v>
      </c>
      <c r="J943" s="662">
        <v>36569.992502861736</v>
      </c>
      <c r="K943" s="566" t="s">
        <v>1264</v>
      </c>
      <c r="L943" s="549"/>
      <c r="M943" s="540"/>
      <c r="O943" s="575"/>
      <c r="S943" s="550"/>
      <c r="T943" s="547"/>
      <c r="U943" s="547"/>
      <c r="V943" s="547"/>
      <c r="W943" s="549"/>
    </row>
    <row r="944" spans="1:23">
      <c r="A944" s="565">
        <v>1638</v>
      </c>
      <c r="B944" s="696" t="s">
        <v>6351</v>
      </c>
      <c r="C944" s="566">
        <f t="shared" si="14"/>
        <v>1638</v>
      </c>
      <c r="D944" s="700" t="s">
        <v>2224</v>
      </c>
      <c r="E944" s="701" t="s">
        <v>8824</v>
      </c>
      <c r="F944" s="566">
        <v>1</v>
      </c>
      <c r="G944" s="662">
        <v>0</v>
      </c>
      <c r="H944" s="662">
        <v>0</v>
      </c>
      <c r="I944" s="662">
        <v>35961.98103348766</v>
      </c>
      <c r="J944" s="662">
        <v>36809.245030545506</v>
      </c>
      <c r="K944" s="566" t="s">
        <v>4019</v>
      </c>
      <c r="L944" s="549"/>
      <c r="M944" s="540"/>
      <c r="O944" s="575"/>
      <c r="S944" s="550"/>
      <c r="T944" s="547"/>
      <c r="U944" s="547"/>
      <c r="V944" s="547"/>
      <c r="W944" s="549"/>
    </row>
    <row r="945" spans="1:23">
      <c r="A945" s="565">
        <v>1639</v>
      </c>
      <c r="B945" s="696" t="s">
        <v>6352</v>
      </c>
      <c r="C945" s="566">
        <f t="shared" si="14"/>
        <v>1639</v>
      </c>
      <c r="D945" s="700" t="s">
        <v>2224</v>
      </c>
      <c r="E945" s="701" t="s">
        <v>8825</v>
      </c>
      <c r="F945" s="566">
        <v>1</v>
      </c>
      <c r="G945" s="662">
        <v>0</v>
      </c>
      <c r="H945" s="662">
        <v>0</v>
      </c>
      <c r="I945" s="662">
        <v>36843.575337249335</v>
      </c>
      <c r="J945" s="662">
        <v>37713.009275390301</v>
      </c>
      <c r="K945" s="566" t="s">
        <v>4020</v>
      </c>
      <c r="L945" s="549"/>
      <c r="M945" s="540"/>
      <c r="O945" s="575"/>
      <c r="S945" s="550"/>
      <c r="T945" s="547"/>
      <c r="U945" s="547"/>
      <c r="V945" s="547"/>
      <c r="W945" s="549"/>
    </row>
    <row r="946" spans="1:23">
      <c r="A946" s="565">
        <v>1640</v>
      </c>
      <c r="B946" s="696" t="s">
        <v>6353</v>
      </c>
      <c r="C946" s="566">
        <f t="shared" si="14"/>
        <v>1640</v>
      </c>
      <c r="D946" s="700" t="s">
        <v>2224</v>
      </c>
      <c r="E946" s="701" t="s">
        <v>8826</v>
      </c>
      <c r="F946" s="566">
        <v>1</v>
      </c>
      <c r="G946" s="662">
        <v>0</v>
      </c>
      <c r="H946" s="662">
        <v>0</v>
      </c>
      <c r="I946" s="662">
        <v>38879.531958186279</v>
      </c>
      <c r="J946" s="662">
        <v>39800.208852603333</v>
      </c>
      <c r="K946" s="566" t="s">
        <v>4021</v>
      </c>
      <c r="L946" s="549"/>
      <c r="M946" s="540"/>
      <c r="O946" s="575"/>
      <c r="S946" s="550"/>
      <c r="T946" s="547"/>
      <c r="U946" s="547"/>
      <c r="V946" s="547"/>
      <c r="W946" s="549"/>
    </row>
    <row r="947" spans="1:23">
      <c r="A947" s="565">
        <v>1641</v>
      </c>
      <c r="B947" s="696" t="s">
        <v>6354</v>
      </c>
      <c r="C947" s="566">
        <f t="shared" si="14"/>
        <v>1641</v>
      </c>
      <c r="D947" s="700" t="s">
        <v>2224</v>
      </c>
      <c r="E947" s="701" t="s">
        <v>8827</v>
      </c>
      <c r="F947" s="566">
        <v>1</v>
      </c>
      <c r="G947" s="662">
        <v>0</v>
      </c>
      <c r="H947" s="662">
        <v>0</v>
      </c>
      <c r="I947" s="662">
        <v>36843.575337249335</v>
      </c>
      <c r="J947" s="662">
        <v>37713.009275390301</v>
      </c>
      <c r="K947" s="566" t="s">
        <v>4022</v>
      </c>
      <c r="L947" s="549"/>
      <c r="M947" s="540"/>
      <c r="O947" s="575"/>
      <c r="S947" s="550"/>
      <c r="T947" s="547"/>
      <c r="U947" s="547"/>
      <c r="V947" s="547"/>
      <c r="W947" s="549"/>
    </row>
    <row r="948" spans="1:23">
      <c r="A948" s="565">
        <v>1642</v>
      </c>
      <c r="B948" s="696" t="s">
        <v>6355</v>
      </c>
      <c r="C948" s="566">
        <f t="shared" si="14"/>
        <v>1642</v>
      </c>
      <c r="D948" s="700" t="s">
        <v>2224</v>
      </c>
      <c r="E948" s="701" t="s">
        <v>8828</v>
      </c>
      <c r="F948" s="566">
        <v>1</v>
      </c>
      <c r="G948" s="662">
        <v>0</v>
      </c>
      <c r="H948" s="662">
        <v>0</v>
      </c>
      <c r="I948" s="662">
        <v>38786.383616051906</v>
      </c>
      <c r="J948" s="662">
        <v>39704.704512479257</v>
      </c>
      <c r="K948" s="566" t="s">
        <v>4023</v>
      </c>
      <c r="L948" s="549"/>
      <c r="M948" s="540"/>
      <c r="O948" s="575"/>
      <c r="S948" s="550"/>
      <c r="T948" s="547"/>
      <c r="U948" s="547"/>
      <c r="V948" s="547"/>
      <c r="W948" s="549"/>
    </row>
    <row r="949" spans="1:23">
      <c r="A949" s="565">
        <v>1643</v>
      </c>
      <c r="B949" s="695" t="s">
        <v>6356</v>
      </c>
      <c r="C949" s="566">
        <f t="shared" si="14"/>
        <v>1643</v>
      </c>
      <c r="D949" s="699" t="s">
        <v>2224</v>
      </c>
      <c r="E949" s="701" t="s">
        <v>8829</v>
      </c>
      <c r="F949" s="567">
        <v>1</v>
      </c>
      <c r="G949" s="662">
        <v>0</v>
      </c>
      <c r="H949" s="662">
        <v>17172.392684336904</v>
      </c>
      <c r="I949" s="662">
        <v>0</v>
      </c>
      <c r="J949" s="662">
        <v>0</v>
      </c>
      <c r="K949" s="568" t="s">
        <v>4757</v>
      </c>
      <c r="L949" s="549"/>
      <c r="M949" s="540"/>
      <c r="O949" s="575"/>
      <c r="S949" s="550"/>
      <c r="T949" s="547"/>
      <c r="U949" s="547"/>
      <c r="V949" s="547"/>
      <c r="W949" s="549"/>
    </row>
    <row r="950" spans="1:23">
      <c r="A950" s="565">
        <v>1644</v>
      </c>
      <c r="B950" s="695" t="s">
        <v>6357</v>
      </c>
      <c r="C950" s="566">
        <f t="shared" si="14"/>
        <v>1644</v>
      </c>
      <c r="D950" s="699" t="s">
        <v>2224</v>
      </c>
      <c r="E950" s="701" t="s">
        <v>8830</v>
      </c>
      <c r="F950" s="567">
        <v>2</v>
      </c>
      <c r="G950" s="662">
        <v>28643.733111478658</v>
      </c>
      <c r="H950" s="662">
        <v>29660.107199894832</v>
      </c>
      <c r="I950" s="662">
        <v>30729.943688026822</v>
      </c>
      <c r="J950" s="662">
        <v>31856.139776197921</v>
      </c>
      <c r="K950" s="568" t="s">
        <v>1265</v>
      </c>
      <c r="L950" s="549"/>
      <c r="M950" s="540"/>
      <c r="O950" s="575"/>
      <c r="S950" s="550"/>
      <c r="T950" s="547"/>
      <c r="U950" s="547"/>
      <c r="V950" s="547"/>
      <c r="W950" s="549"/>
    </row>
    <row r="951" spans="1:23">
      <c r="A951" s="565">
        <v>1645</v>
      </c>
      <c r="B951" s="696" t="s">
        <v>6358</v>
      </c>
      <c r="C951" s="566">
        <f t="shared" si="14"/>
        <v>1645</v>
      </c>
      <c r="D951" s="700" t="s">
        <v>2224</v>
      </c>
      <c r="E951" s="701" t="s">
        <v>8831</v>
      </c>
      <c r="F951" s="566">
        <v>2</v>
      </c>
      <c r="G951" s="662">
        <v>31136.691617750956</v>
      </c>
      <c r="H951" s="662">
        <v>32291.4070216045</v>
      </c>
      <c r="I951" s="662">
        <v>33506.918363492201</v>
      </c>
      <c r="J951" s="662">
        <v>34786.394456267662</v>
      </c>
      <c r="K951" s="566" t="s">
        <v>1266</v>
      </c>
      <c r="L951" s="549"/>
      <c r="M951" s="540"/>
      <c r="O951" s="575"/>
      <c r="S951" s="550"/>
      <c r="T951" s="547"/>
      <c r="U951" s="547"/>
      <c r="V951" s="547"/>
      <c r="W951" s="549"/>
    </row>
    <row r="952" spans="1:23">
      <c r="A952" s="565">
        <v>1646</v>
      </c>
      <c r="B952" s="695" t="s">
        <v>6359</v>
      </c>
      <c r="C952" s="566">
        <f t="shared" si="14"/>
        <v>1646</v>
      </c>
      <c r="D952" s="699" t="s">
        <v>2224</v>
      </c>
      <c r="E952" s="701" t="s">
        <v>8832</v>
      </c>
      <c r="F952" s="567">
        <v>2</v>
      </c>
      <c r="G952" s="662">
        <v>31136.691617750956</v>
      </c>
      <c r="H952" s="662">
        <v>32291.4070216045</v>
      </c>
      <c r="I952" s="662">
        <v>33506.918363492201</v>
      </c>
      <c r="J952" s="662">
        <v>34786.394456267662</v>
      </c>
      <c r="K952" s="568" t="s">
        <v>1267</v>
      </c>
      <c r="L952" s="549"/>
      <c r="M952" s="540"/>
      <c r="O952" s="575"/>
      <c r="S952" s="550"/>
      <c r="T952" s="547"/>
      <c r="U952" s="547"/>
      <c r="V952" s="547"/>
      <c r="W952" s="549"/>
    </row>
    <row r="953" spans="1:23">
      <c r="A953" s="565">
        <v>1647</v>
      </c>
      <c r="B953" s="695" t="s">
        <v>6360</v>
      </c>
      <c r="C953" s="566">
        <f t="shared" si="14"/>
        <v>1647</v>
      </c>
      <c r="D953" s="699" t="s">
        <v>2224</v>
      </c>
      <c r="E953" s="701" t="s">
        <v>8833</v>
      </c>
      <c r="F953" s="567">
        <v>2</v>
      </c>
      <c r="G953" s="662">
        <v>38521.398584887043</v>
      </c>
      <c r="H953" s="662">
        <v>40005.625256760424</v>
      </c>
      <c r="I953" s="662">
        <v>41567.985799852679</v>
      </c>
      <c r="J953" s="662">
        <v>43212.554402118454</v>
      </c>
      <c r="K953" s="568" t="s">
        <v>1268</v>
      </c>
      <c r="L953" s="549"/>
      <c r="M953" s="540"/>
      <c r="O953" s="575"/>
      <c r="S953" s="550"/>
      <c r="T953" s="547"/>
      <c r="U953" s="547"/>
      <c r="V953" s="547"/>
      <c r="W953" s="549"/>
    </row>
    <row r="954" spans="1:23">
      <c r="A954" s="565">
        <v>1648</v>
      </c>
      <c r="B954" s="696" t="s">
        <v>6361</v>
      </c>
      <c r="C954" s="566">
        <f t="shared" si="14"/>
        <v>1648</v>
      </c>
      <c r="D954" s="700" t="s">
        <v>2224</v>
      </c>
      <c r="E954" s="701" t="s">
        <v>8834</v>
      </c>
      <c r="F954" s="566">
        <v>2</v>
      </c>
      <c r="G954" s="662">
        <v>37111.367402543066</v>
      </c>
      <c r="H954" s="662">
        <v>38521.398584887043</v>
      </c>
      <c r="I954" s="662">
        <v>40005.625256760424</v>
      </c>
      <c r="J954" s="662">
        <v>41567.985799852679</v>
      </c>
      <c r="K954" s="566" t="s">
        <v>1269</v>
      </c>
      <c r="L954" s="549"/>
      <c r="M954" s="540"/>
      <c r="O954" s="575"/>
      <c r="S954" s="550"/>
      <c r="T954" s="547"/>
      <c r="U954" s="547"/>
      <c r="V954" s="547"/>
      <c r="W954" s="549"/>
    </row>
    <row r="955" spans="1:23">
      <c r="A955" s="565">
        <v>1649</v>
      </c>
      <c r="B955" s="696" t="s">
        <v>6362</v>
      </c>
      <c r="C955" s="566">
        <f t="shared" si="14"/>
        <v>1649</v>
      </c>
      <c r="D955" s="700" t="s">
        <v>2224</v>
      </c>
      <c r="E955" s="701" t="s">
        <v>8835</v>
      </c>
      <c r="F955" s="566">
        <v>2</v>
      </c>
      <c r="G955" s="662">
        <v>27672.041859598652</v>
      </c>
      <c r="H955" s="662">
        <v>28637.352792316742</v>
      </c>
      <c r="I955" s="662">
        <v>29653.455268202608</v>
      </c>
      <c r="J955" s="662">
        <v>30723.065412559336</v>
      </c>
      <c r="K955" s="566" t="s">
        <v>1270</v>
      </c>
      <c r="L955" s="549"/>
      <c r="M955" s="540"/>
      <c r="O955" s="575"/>
      <c r="S955" s="550"/>
      <c r="T955" s="547"/>
      <c r="U955" s="547"/>
      <c r="V955" s="547"/>
      <c r="W955" s="549"/>
    </row>
    <row r="956" spans="1:23">
      <c r="A956" s="565">
        <v>1650</v>
      </c>
      <c r="B956" s="696" t="s">
        <v>6363</v>
      </c>
      <c r="C956" s="566">
        <f t="shared" si="14"/>
        <v>1650</v>
      </c>
      <c r="D956" s="700" t="s">
        <v>2224</v>
      </c>
      <c r="E956" s="701" t="s">
        <v>8836</v>
      </c>
      <c r="F956" s="566">
        <v>2</v>
      </c>
      <c r="G956" s="662">
        <v>28632.964819718378</v>
      </c>
      <c r="H956" s="662">
        <v>29637.659569331263</v>
      </c>
      <c r="I956" s="662">
        <v>30695.228224844297</v>
      </c>
      <c r="J956" s="662">
        <v>31808.47744907067</v>
      </c>
      <c r="K956" s="566" t="s">
        <v>1271</v>
      </c>
      <c r="L956" s="549"/>
      <c r="M956" s="540"/>
      <c r="O956" s="575"/>
      <c r="S956" s="550"/>
      <c r="T956" s="547"/>
      <c r="U956" s="547"/>
      <c r="V956" s="547"/>
      <c r="W956" s="549"/>
    </row>
    <row r="957" spans="1:23">
      <c r="A957" s="565">
        <v>1651</v>
      </c>
      <c r="B957" s="696" t="s">
        <v>6364</v>
      </c>
      <c r="C957" s="566">
        <f t="shared" si="14"/>
        <v>1651</v>
      </c>
      <c r="D957" s="700" t="s">
        <v>2224</v>
      </c>
      <c r="E957" s="701" t="s">
        <v>8837</v>
      </c>
      <c r="F957" s="566">
        <v>2</v>
      </c>
      <c r="G957" s="662">
        <v>33045.257072151755</v>
      </c>
      <c r="H957" s="662">
        <v>34269.414746254282</v>
      </c>
      <c r="I957" s="662">
        <v>35557.989858795096</v>
      </c>
      <c r="J957" s="662">
        <v>36914.377566403047</v>
      </c>
      <c r="K957" s="566" t="s">
        <v>1272</v>
      </c>
      <c r="L957" s="549"/>
      <c r="M957" s="540"/>
      <c r="O957" s="575"/>
      <c r="S957" s="550"/>
      <c r="T957" s="547"/>
      <c r="U957" s="547"/>
      <c r="V957" s="547"/>
      <c r="W957" s="549"/>
    </row>
    <row r="958" spans="1:23">
      <c r="A958" s="565">
        <v>1652</v>
      </c>
      <c r="B958" s="695" t="s">
        <v>6365</v>
      </c>
      <c r="C958" s="566">
        <f t="shared" si="14"/>
        <v>1652</v>
      </c>
      <c r="D958" s="699" t="s">
        <v>2224</v>
      </c>
      <c r="E958" s="701" t="s">
        <v>8838</v>
      </c>
      <c r="F958" s="567">
        <v>2</v>
      </c>
      <c r="G958" s="662">
        <v>31066.831024507977</v>
      </c>
      <c r="H958" s="662">
        <v>32195.607431717017</v>
      </c>
      <c r="I958" s="662">
        <v>33383.776445553616</v>
      </c>
      <c r="J958" s="662">
        <v>34634.506878871376</v>
      </c>
      <c r="K958" s="568" t="s">
        <v>1273</v>
      </c>
      <c r="L958" s="549"/>
      <c r="M958" s="540"/>
      <c r="O958" s="575"/>
      <c r="S958" s="550"/>
      <c r="T958" s="547"/>
      <c r="U958" s="547"/>
      <c r="V958" s="547"/>
      <c r="W958" s="549"/>
    </row>
    <row r="959" spans="1:23">
      <c r="A959" s="565">
        <v>1653</v>
      </c>
      <c r="B959" s="696" t="s">
        <v>6366</v>
      </c>
      <c r="C959" s="566">
        <f t="shared" si="14"/>
        <v>1653</v>
      </c>
      <c r="D959" s="700" t="s">
        <v>2224</v>
      </c>
      <c r="E959" s="701" t="s">
        <v>8839</v>
      </c>
      <c r="F959" s="566">
        <v>2</v>
      </c>
      <c r="G959" s="662">
        <v>0</v>
      </c>
      <c r="H959" s="662">
        <v>24283.154931326862</v>
      </c>
      <c r="I959" s="662">
        <v>25919.348813908113</v>
      </c>
      <c r="J959" s="662">
        <v>0</v>
      </c>
      <c r="K959" s="566" t="s">
        <v>4758</v>
      </c>
      <c r="L959" s="549"/>
      <c r="M959" s="540"/>
      <c r="O959" s="575"/>
      <c r="S959" s="550"/>
      <c r="T959" s="547"/>
      <c r="U959" s="547"/>
      <c r="V959" s="547"/>
      <c r="W959" s="549"/>
    </row>
    <row r="960" spans="1:23">
      <c r="A960" s="565">
        <v>1654</v>
      </c>
      <c r="B960" s="696" t="s">
        <v>6367</v>
      </c>
      <c r="C960" s="566">
        <f t="shared" si="14"/>
        <v>1654</v>
      </c>
      <c r="D960" s="700" t="s">
        <v>2224</v>
      </c>
      <c r="E960" s="701" t="s">
        <v>8840</v>
      </c>
      <c r="F960" s="566">
        <v>2</v>
      </c>
      <c r="G960" s="662">
        <v>0</v>
      </c>
      <c r="H960" s="662">
        <v>25086.715972986556</v>
      </c>
      <c r="I960" s="662">
        <v>26788.096862841958</v>
      </c>
      <c r="J960" s="662">
        <v>0</v>
      </c>
      <c r="K960" s="566" t="s">
        <v>4759</v>
      </c>
      <c r="L960" s="549"/>
      <c r="M960" s="540"/>
      <c r="O960" s="575"/>
      <c r="S960" s="550"/>
      <c r="T960" s="547"/>
      <c r="U960" s="547"/>
      <c r="V960" s="547"/>
      <c r="W960" s="549"/>
    </row>
    <row r="961" spans="1:23">
      <c r="A961" s="565">
        <v>1655</v>
      </c>
      <c r="B961" s="696" t="s">
        <v>6368</v>
      </c>
      <c r="C961" s="566">
        <f t="shared" si="14"/>
        <v>1655</v>
      </c>
      <c r="D961" s="700" t="s">
        <v>2224</v>
      </c>
      <c r="E961" s="701" t="s">
        <v>8841</v>
      </c>
      <c r="F961" s="566">
        <v>2</v>
      </c>
      <c r="G961" s="662">
        <v>39931.390491859835</v>
      </c>
      <c r="H961" s="662">
        <v>41427.975533862271</v>
      </c>
      <c r="I961" s="662">
        <v>42924.5605758647</v>
      </c>
      <c r="J961" s="662">
        <v>44499.913251656741</v>
      </c>
      <c r="K961" s="566" t="s">
        <v>1274</v>
      </c>
      <c r="L961" s="549"/>
      <c r="M961" s="540"/>
      <c r="O961" s="575"/>
      <c r="S961" s="550"/>
      <c r="T961" s="547"/>
      <c r="U961" s="547"/>
      <c r="V961" s="547"/>
      <c r="W961" s="549"/>
    </row>
    <row r="962" spans="1:23">
      <c r="A962" s="565">
        <v>1656</v>
      </c>
      <c r="B962" s="696" t="s">
        <v>6369</v>
      </c>
      <c r="C962" s="566">
        <f t="shared" si="14"/>
        <v>1656</v>
      </c>
      <c r="D962" s="700" t="s">
        <v>2224</v>
      </c>
      <c r="E962" s="701" t="s">
        <v>8842</v>
      </c>
      <c r="F962" s="566">
        <v>2</v>
      </c>
      <c r="G962" s="662">
        <v>0</v>
      </c>
      <c r="H962" s="662">
        <v>0</v>
      </c>
      <c r="I962" s="662">
        <v>45054.209748291432</v>
      </c>
      <c r="J962" s="662">
        <v>46653.328520485506</v>
      </c>
      <c r="K962" s="566" t="s">
        <v>4760</v>
      </c>
      <c r="L962" s="549"/>
      <c r="M962" s="540"/>
      <c r="O962" s="575"/>
      <c r="S962" s="550"/>
      <c r="T962" s="547"/>
      <c r="U962" s="547"/>
      <c r="V962" s="547"/>
      <c r="W962" s="549"/>
    </row>
    <row r="963" spans="1:23">
      <c r="A963" s="565">
        <v>1657</v>
      </c>
      <c r="B963" s="696" t="s">
        <v>6370</v>
      </c>
      <c r="C963" s="566">
        <f t="shared" si="14"/>
        <v>1657</v>
      </c>
      <c r="D963" s="700" t="s">
        <v>2224</v>
      </c>
      <c r="E963" s="701" t="s">
        <v>8843</v>
      </c>
      <c r="F963" s="566">
        <v>2</v>
      </c>
      <c r="G963" s="662">
        <v>25692.856715012971</v>
      </c>
      <c r="H963" s="662">
        <v>26627.294356785933</v>
      </c>
      <c r="I963" s="662">
        <v>27610.939135299872</v>
      </c>
      <c r="J963" s="662">
        <v>28646.326100837679</v>
      </c>
      <c r="K963" s="566" t="s">
        <v>1275</v>
      </c>
      <c r="L963" s="549"/>
      <c r="M963" s="540"/>
      <c r="O963" s="575"/>
      <c r="S963" s="550"/>
      <c r="T963" s="547"/>
      <c r="U963" s="547"/>
      <c r="V963" s="547"/>
      <c r="W963" s="549"/>
    </row>
    <row r="964" spans="1:23">
      <c r="A964" s="565">
        <v>1658</v>
      </c>
      <c r="B964" s="696" t="s">
        <v>6371</v>
      </c>
      <c r="C964" s="566">
        <f t="shared" si="14"/>
        <v>1658</v>
      </c>
      <c r="D964" s="700" t="s">
        <v>2224</v>
      </c>
      <c r="E964" s="701" t="s">
        <v>8844</v>
      </c>
      <c r="F964" s="566">
        <v>2</v>
      </c>
      <c r="G964" s="662">
        <v>30440.123728862371</v>
      </c>
      <c r="H964" s="662">
        <v>31568.628523541105</v>
      </c>
      <c r="I964" s="662">
        <v>32756.525924847381</v>
      </c>
      <c r="J964" s="662">
        <v>34006.939476879794</v>
      </c>
      <c r="K964" s="566" t="s">
        <v>1276</v>
      </c>
      <c r="L964" s="549"/>
      <c r="M964" s="540"/>
      <c r="O964" s="575"/>
      <c r="S964" s="550"/>
      <c r="T964" s="547"/>
      <c r="U964" s="547"/>
      <c r="V964" s="547"/>
      <c r="W964" s="549"/>
    </row>
    <row r="965" spans="1:23">
      <c r="A965" s="565">
        <v>1659</v>
      </c>
      <c r="B965" s="696" t="s">
        <v>6372</v>
      </c>
      <c r="C965" s="566">
        <f t="shared" si="14"/>
        <v>1659</v>
      </c>
      <c r="D965" s="700" t="s">
        <v>2224</v>
      </c>
      <c r="E965" s="701" t="s">
        <v>8845</v>
      </c>
      <c r="F965" s="566">
        <v>2</v>
      </c>
      <c r="G965" s="662">
        <v>29175.738442748661</v>
      </c>
      <c r="H965" s="662">
        <v>30225.339797372624</v>
      </c>
      <c r="I965" s="662">
        <v>31330.169033159422</v>
      </c>
      <c r="J965" s="662">
        <v>32493.168619187389</v>
      </c>
      <c r="K965" s="566" t="s">
        <v>1277</v>
      </c>
      <c r="L965" s="549"/>
      <c r="M965" s="540"/>
      <c r="O965" s="575"/>
      <c r="S965" s="550"/>
      <c r="T965" s="547"/>
      <c r="U965" s="547"/>
      <c r="V965" s="547"/>
      <c r="W965" s="549"/>
    </row>
    <row r="966" spans="1:23">
      <c r="A966" s="565">
        <v>1660</v>
      </c>
      <c r="B966" s="696" t="s">
        <v>6373</v>
      </c>
      <c r="C966" s="566">
        <f t="shared" si="14"/>
        <v>1660</v>
      </c>
      <c r="D966" s="700" t="s">
        <v>2224</v>
      </c>
      <c r="E966" s="701" t="s">
        <v>8846</v>
      </c>
      <c r="F966" s="566">
        <v>2</v>
      </c>
      <c r="G966" s="662">
        <v>25502.611194754067</v>
      </c>
      <c r="H966" s="662">
        <v>26401.875013852026</v>
      </c>
      <c r="I966" s="662">
        <v>27348.444681978788</v>
      </c>
      <c r="J966" s="662">
        <v>28344.855249417258</v>
      </c>
      <c r="K966" s="566" t="s">
        <v>1278</v>
      </c>
      <c r="L966" s="549"/>
      <c r="M966" s="540"/>
      <c r="O966" s="575"/>
      <c r="S966" s="550"/>
      <c r="T966" s="547"/>
      <c r="U966" s="547"/>
      <c r="V966" s="547"/>
      <c r="W966" s="549"/>
    </row>
    <row r="967" spans="1:23">
      <c r="A967" s="565">
        <v>1661</v>
      </c>
      <c r="B967" s="696" t="s">
        <v>6374</v>
      </c>
      <c r="C967" s="566">
        <f t="shared" si="14"/>
        <v>1661</v>
      </c>
      <c r="D967" s="700" t="s">
        <v>2224</v>
      </c>
      <c r="E967" s="701" t="s">
        <v>8847</v>
      </c>
      <c r="F967" s="566">
        <v>2</v>
      </c>
      <c r="G967" s="662">
        <v>28817.722676445173</v>
      </c>
      <c r="H967" s="662">
        <v>29883.349170357378</v>
      </c>
      <c r="I967" s="662">
        <v>31005.063651778382</v>
      </c>
      <c r="J967" s="662">
        <v>32185.853858541592</v>
      </c>
      <c r="K967" s="566" t="s">
        <v>1279</v>
      </c>
      <c r="L967" s="549"/>
      <c r="M967" s="540"/>
      <c r="O967" s="575"/>
      <c r="S967" s="550"/>
      <c r="T967" s="547"/>
      <c r="U967" s="547"/>
      <c r="V967" s="547"/>
      <c r="W967" s="549"/>
    </row>
    <row r="968" spans="1:23">
      <c r="A968" s="565">
        <v>1662</v>
      </c>
      <c r="B968" s="696" t="s">
        <v>6375</v>
      </c>
      <c r="C968" s="566">
        <f t="shared" si="14"/>
        <v>1662</v>
      </c>
      <c r="D968" s="700" t="s">
        <v>2224</v>
      </c>
      <c r="E968" s="701" t="s">
        <v>8848</v>
      </c>
      <c r="F968" s="566">
        <v>2</v>
      </c>
      <c r="G968" s="662">
        <v>0</v>
      </c>
      <c r="H968" s="662">
        <v>0</v>
      </c>
      <c r="I968" s="662">
        <v>0</v>
      </c>
      <c r="J968" s="662">
        <v>32259.259284712763</v>
      </c>
      <c r="K968" s="566" t="s">
        <v>4761</v>
      </c>
      <c r="L968" s="549"/>
      <c r="M968" s="540"/>
      <c r="O968" s="575"/>
      <c r="S968" s="550"/>
      <c r="T968" s="547"/>
      <c r="U968" s="547"/>
      <c r="V968" s="547"/>
      <c r="W968" s="549"/>
    </row>
    <row r="969" spans="1:23">
      <c r="A969" s="565">
        <v>1663</v>
      </c>
      <c r="B969" s="696" t="s">
        <v>6376</v>
      </c>
      <c r="C969" s="566">
        <f t="shared" ref="C969:C1032" si="15">A969</f>
        <v>1663</v>
      </c>
      <c r="D969" s="700" t="s">
        <v>2224</v>
      </c>
      <c r="E969" s="701" t="s">
        <v>8849</v>
      </c>
      <c r="F969" s="566">
        <v>2</v>
      </c>
      <c r="G969" s="662">
        <v>23343.176486897657</v>
      </c>
      <c r="H969" s="662">
        <v>24148.50763926376</v>
      </c>
      <c r="I969" s="662">
        <v>24996.210346358053</v>
      </c>
      <c r="J969" s="662">
        <v>25888.548045933134</v>
      </c>
      <c r="K969" s="566" t="s">
        <v>1280</v>
      </c>
      <c r="L969" s="549"/>
      <c r="M969" s="540"/>
      <c r="O969" s="575"/>
      <c r="S969" s="550"/>
      <c r="T969" s="547"/>
      <c r="U969" s="547"/>
      <c r="V969" s="547"/>
      <c r="W969" s="549"/>
    </row>
    <row r="970" spans="1:23">
      <c r="A970" s="565">
        <v>1664</v>
      </c>
      <c r="B970" s="696" t="s">
        <v>6377</v>
      </c>
      <c r="C970" s="566">
        <f t="shared" si="15"/>
        <v>1664</v>
      </c>
      <c r="D970" s="700" t="s">
        <v>2224</v>
      </c>
      <c r="E970" s="701" t="s">
        <v>8850</v>
      </c>
      <c r="F970" s="566">
        <v>2</v>
      </c>
      <c r="G970" s="662">
        <v>25864.708710501833</v>
      </c>
      <c r="H970" s="662">
        <v>26775.651868403078</v>
      </c>
      <c r="I970" s="662">
        <v>27734.489369148803</v>
      </c>
      <c r="J970" s="662">
        <v>28743.846800531992</v>
      </c>
      <c r="K970" s="566" t="s">
        <v>1281</v>
      </c>
      <c r="L970" s="549"/>
      <c r="M970" s="540"/>
      <c r="O970" s="575"/>
      <c r="S970" s="550"/>
      <c r="T970" s="547"/>
      <c r="U970" s="547"/>
      <c r="V970" s="547"/>
      <c r="W970" s="549"/>
    </row>
    <row r="971" spans="1:23">
      <c r="A971" s="565">
        <v>1665</v>
      </c>
      <c r="B971" s="696" t="s">
        <v>6378</v>
      </c>
      <c r="C971" s="566">
        <f t="shared" si="15"/>
        <v>1665</v>
      </c>
      <c r="D971" s="700" t="s">
        <v>2224</v>
      </c>
      <c r="E971" s="701" t="s">
        <v>8851</v>
      </c>
      <c r="F971" s="566">
        <v>2</v>
      </c>
      <c r="G971" s="662">
        <v>20771.553774509644</v>
      </c>
      <c r="H971" s="662">
        <v>21472.676252747209</v>
      </c>
      <c r="I971" s="662">
        <v>22210.692766351734</v>
      </c>
      <c r="J971" s="662">
        <v>22987.549871790448</v>
      </c>
      <c r="K971" s="566" t="s">
        <v>1282</v>
      </c>
      <c r="L971" s="549"/>
      <c r="M971" s="540"/>
      <c r="O971" s="575"/>
      <c r="S971" s="550"/>
      <c r="T971" s="547"/>
      <c r="U971" s="547"/>
      <c r="V971" s="547"/>
      <c r="W971" s="549"/>
    </row>
    <row r="972" spans="1:23">
      <c r="A972" s="565">
        <v>1666</v>
      </c>
      <c r="B972" s="696" t="s">
        <v>6379</v>
      </c>
      <c r="C972" s="566">
        <f t="shared" si="15"/>
        <v>1666</v>
      </c>
      <c r="D972" s="700" t="s">
        <v>2224</v>
      </c>
      <c r="E972" s="701" t="s">
        <v>8852</v>
      </c>
      <c r="F972" s="566">
        <v>2</v>
      </c>
      <c r="G972" s="662">
        <v>23163.721978672682</v>
      </c>
      <c r="H972" s="662">
        <v>23956.513685889517</v>
      </c>
      <c r="I972" s="662">
        <v>24790.997916508783</v>
      </c>
      <c r="J972" s="662">
        <v>25669.438108283055</v>
      </c>
      <c r="K972" s="566" t="s">
        <v>1283</v>
      </c>
      <c r="L972" s="549"/>
      <c r="M972" s="540"/>
      <c r="O972" s="575"/>
      <c r="S972" s="550"/>
      <c r="T972" s="547"/>
      <c r="U972" s="547"/>
      <c r="V972" s="547"/>
      <c r="W972" s="549"/>
    </row>
    <row r="973" spans="1:23">
      <c r="A973" s="565">
        <v>1667</v>
      </c>
      <c r="B973" s="696" t="s">
        <v>6380</v>
      </c>
      <c r="C973" s="566">
        <f t="shared" si="15"/>
        <v>1667</v>
      </c>
      <c r="D973" s="700" t="s">
        <v>2224</v>
      </c>
      <c r="E973" s="701" t="s">
        <v>8853</v>
      </c>
      <c r="F973" s="566">
        <v>2</v>
      </c>
      <c r="G973" s="662">
        <v>20543.808677836092</v>
      </c>
      <c r="H973" s="662">
        <v>21220.440759590783</v>
      </c>
      <c r="I973" s="662">
        <v>21932.699351571016</v>
      </c>
      <c r="J973" s="662">
        <v>22682.440472733888</v>
      </c>
      <c r="K973" s="566" t="s">
        <v>1284</v>
      </c>
      <c r="L973" s="549"/>
      <c r="M973" s="540"/>
      <c r="O973" s="575"/>
      <c r="S973" s="550"/>
      <c r="T973" s="547"/>
      <c r="U973" s="547"/>
      <c r="V973" s="547"/>
      <c r="W973" s="549"/>
    </row>
    <row r="974" spans="1:23">
      <c r="A974" s="565">
        <v>1668</v>
      </c>
      <c r="B974" s="696" t="s">
        <v>6381</v>
      </c>
      <c r="C974" s="566">
        <f t="shared" si="15"/>
        <v>1668</v>
      </c>
      <c r="D974" s="700" t="s">
        <v>2224</v>
      </c>
      <c r="E974" s="701" t="s">
        <v>8854</v>
      </c>
      <c r="F974" s="566">
        <v>1</v>
      </c>
      <c r="G974" s="662">
        <v>18923.145032720291</v>
      </c>
      <c r="H974" s="662">
        <v>0</v>
      </c>
      <c r="I974" s="662">
        <v>0</v>
      </c>
      <c r="J974" s="662">
        <v>0</v>
      </c>
      <c r="K974" s="566" t="s">
        <v>5272</v>
      </c>
      <c r="L974" s="549"/>
      <c r="M974" s="540"/>
      <c r="O974" s="575"/>
      <c r="S974" s="550"/>
      <c r="T974" s="547"/>
      <c r="U974" s="547"/>
      <c r="V974" s="547"/>
      <c r="W974" s="549"/>
    </row>
    <row r="975" spans="1:23">
      <c r="A975" s="565">
        <v>1669</v>
      </c>
      <c r="B975" s="696" t="s">
        <v>6382</v>
      </c>
      <c r="C975" s="566">
        <f t="shared" si="15"/>
        <v>1669</v>
      </c>
      <c r="D975" s="700" t="s">
        <v>2224</v>
      </c>
      <c r="E975" s="701" t="s">
        <v>8855</v>
      </c>
      <c r="F975" s="566">
        <v>1</v>
      </c>
      <c r="G975" s="662">
        <v>0</v>
      </c>
      <c r="H975" s="662">
        <v>0</v>
      </c>
      <c r="I975" s="662">
        <v>0</v>
      </c>
      <c r="J975" s="662">
        <v>31820.262066633044</v>
      </c>
      <c r="K975" s="566" t="s">
        <v>4762</v>
      </c>
      <c r="L975" s="549"/>
      <c r="M975" s="540"/>
      <c r="O975" s="575"/>
      <c r="S975" s="550"/>
      <c r="T975" s="547"/>
      <c r="U975" s="547"/>
      <c r="V975" s="547"/>
      <c r="W975" s="549"/>
    </row>
    <row r="976" spans="1:23">
      <c r="A976" s="565">
        <v>1670</v>
      </c>
      <c r="B976" s="696" t="s">
        <v>6383</v>
      </c>
      <c r="C976" s="566">
        <f t="shared" si="15"/>
        <v>1670</v>
      </c>
      <c r="D976" s="700" t="s">
        <v>2224</v>
      </c>
      <c r="E976" s="701" t="s">
        <v>8856</v>
      </c>
      <c r="F976" s="566">
        <v>1</v>
      </c>
      <c r="G976" s="662">
        <v>29323.615789310323</v>
      </c>
      <c r="H976" s="662">
        <v>30563.058866194868</v>
      </c>
      <c r="I976" s="662">
        <v>31802.501943079402</v>
      </c>
      <c r="J976" s="662">
        <v>33107.168495075042</v>
      </c>
      <c r="K976" s="566" t="s">
        <v>1285</v>
      </c>
      <c r="L976" s="549"/>
      <c r="M976" s="540"/>
      <c r="O976" s="575"/>
      <c r="S976" s="550"/>
      <c r="T976" s="547"/>
      <c r="U976" s="547"/>
      <c r="V976" s="547"/>
      <c r="W976" s="549"/>
    </row>
    <row r="977" spans="1:23">
      <c r="A977" s="565">
        <v>1671</v>
      </c>
      <c r="B977" s="696" t="s">
        <v>6384</v>
      </c>
      <c r="C977" s="566">
        <f t="shared" si="15"/>
        <v>1671</v>
      </c>
      <c r="D977" s="700" t="s">
        <v>2224</v>
      </c>
      <c r="E977" s="701" t="s">
        <v>8857</v>
      </c>
      <c r="F977" s="566">
        <v>1</v>
      </c>
      <c r="G977" s="662">
        <v>0</v>
      </c>
      <c r="H977" s="662">
        <v>29754.562175130166</v>
      </c>
      <c r="I977" s="662">
        <v>0</v>
      </c>
      <c r="J977" s="662">
        <v>32157.452799489853</v>
      </c>
      <c r="K977" s="566" t="s">
        <v>4763</v>
      </c>
      <c r="L977" s="549"/>
      <c r="M977" s="540"/>
      <c r="O977" s="575"/>
      <c r="S977" s="550"/>
      <c r="T977" s="547"/>
      <c r="U977" s="547"/>
      <c r="V977" s="547"/>
      <c r="W977" s="549"/>
    </row>
    <row r="978" spans="1:23">
      <c r="A978" s="565">
        <v>1672</v>
      </c>
      <c r="B978" s="696" t="s">
        <v>6385</v>
      </c>
      <c r="C978" s="566">
        <f t="shared" si="15"/>
        <v>1672</v>
      </c>
      <c r="D978" s="700" t="s">
        <v>2224</v>
      </c>
      <c r="E978" s="701" t="s">
        <v>8858</v>
      </c>
      <c r="F978" s="566">
        <v>1</v>
      </c>
      <c r="G978" s="662">
        <v>0</v>
      </c>
      <c r="H978" s="662">
        <v>0</v>
      </c>
      <c r="I978" s="662">
        <v>0</v>
      </c>
      <c r="J978" s="662">
        <v>32232.495673227768</v>
      </c>
      <c r="K978" s="566" t="s">
        <v>4764</v>
      </c>
      <c r="L978" s="549"/>
      <c r="M978" s="540"/>
      <c r="O978" s="575"/>
      <c r="S978" s="550"/>
      <c r="T978" s="547"/>
      <c r="U978" s="547"/>
      <c r="V978" s="547"/>
      <c r="W978" s="549"/>
    </row>
    <row r="979" spans="1:23">
      <c r="A979" s="565">
        <v>1673</v>
      </c>
      <c r="B979" s="695" t="s">
        <v>6386</v>
      </c>
      <c r="C979" s="566">
        <f t="shared" si="15"/>
        <v>1673</v>
      </c>
      <c r="D979" s="699" t="s">
        <v>2224</v>
      </c>
      <c r="E979" s="701" t="s">
        <v>8859</v>
      </c>
      <c r="F979" s="567">
        <v>1</v>
      </c>
      <c r="G979" s="662">
        <v>0</v>
      </c>
      <c r="H979" s="662">
        <v>0</v>
      </c>
      <c r="I979" s="662">
        <v>35146.671110315991</v>
      </c>
      <c r="J979" s="662">
        <v>36622.114132894552</v>
      </c>
      <c r="K979" s="568" t="s">
        <v>1286</v>
      </c>
      <c r="L979" s="549"/>
      <c r="M979" s="540"/>
      <c r="O979" s="575"/>
      <c r="S979" s="550"/>
      <c r="T979" s="547"/>
      <c r="U979" s="547"/>
      <c r="V979" s="547"/>
      <c r="W979" s="549"/>
    </row>
    <row r="980" spans="1:23">
      <c r="A980" s="565">
        <v>1674</v>
      </c>
      <c r="B980" s="696" t="s">
        <v>6387</v>
      </c>
      <c r="C980" s="566">
        <f t="shared" si="15"/>
        <v>1674</v>
      </c>
      <c r="D980" s="700" t="s">
        <v>2224</v>
      </c>
      <c r="E980" s="701" t="s">
        <v>8860</v>
      </c>
      <c r="F980" s="566">
        <v>1</v>
      </c>
      <c r="G980" s="662">
        <v>0</v>
      </c>
      <c r="H980" s="662">
        <v>0</v>
      </c>
      <c r="I980" s="662">
        <v>0</v>
      </c>
      <c r="J980" s="662">
        <v>48134.554120172965</v>
      </c>
      <c r="K980" s="566" t="s">
        <v>4765</v>
      </c>
      <c r="L980" s="549"/>
      <c r="M980" s="540"/>
      <c r="O980" s="575"/>
      <c r="S980" s="550"/>
      <c r="T980" s="547"/>
      <c r="U980" s="547"/>
      <c r="V980" s="547"/>
      <c r="W980" s="549"/>
    </row>
    <row r="981" spans="1:23">
      <c r="A981" s="565">
        <v>1675</v>
      </c>
      <c r="B981" s="696" t="s">
        <v>6388</v>
      </c>
      <c r="C981" s="566">
        <f t="shared" si="15"/>
        <v>1675</v>
      </c>
      <c r="D981" s="700" t="s">
        <v>2224</v>
      </c>
      <c r="E981" s="701" t="s">
        <v>8861</v>
      </c>
      <c r="F981" s="566">
        <v>1</v>
      </c>
      <c r="G981" s="662">
        <v>41541.399152185637</v>
      </c>
      <c r="H981" s="662">
        <v>43340.135170229267</v>
      </c>
      <c r="I981" s="662">
        <v>0</v>
      </c>
      <c r="J981" s="662">
        <v>0</v>
      </c>
      <c r="K981" s="566" t="s">
        <v>1287</v>
      </c>
      <c r="L981" s="549"/>
      <c r="M981" s="540"/>
      <c r="O981" s="575"/>
      <c r="S981" s="550"/>
      <c r="T981" s="547"/>
      <c r="U981" s="547"/>
      <c r="V981" s="547"/>
      <c r="W981" s="549"/>
    </row>
    <row r="982" spans="1:23">
      <c r="A982" s="565">
        <v>1676</v>
      </c>
      <c r="B982" s="696" t="s">
        <v>6389</v>
      </c>
      <c r="C982" s="566">
        <f t="shared" si="15"/>
        <v>1676</v>
      </c>
      <c r="D982" s="700" t="s">
        <v>2224</v>
      </c>
      <c r="E982" s="701" t="s">
        <v>8862</v>
      </c>
      <c r="F982" s="566">
        <v>1</v>
      </c>
      <c r="G982" s="662">
        <v>31426.001056549772</v>
      </c>
      <c r="H982" s="662">
        <v>32702.620857415066</v>
      </c>
      <c r="I982" s="662">
        <v>34046.368947871022</v>
      </c>
      <c r="J982" s="662">
        <v>35460.857907103069</v>
      </c>
      <c r="K982" s="566" t="s">
        <v>1288</v>
      </c>
      <c r="L982" s="549"/>
      <c r="M982" s="540"/>
      <c r="O982" s="575"/>
      <c r="S982" s="550"/>
      <c r="T982" s="547"/>
      <c r="U982" s="547"/>
      <c r="V982" s="547"/>
      <c r="W982" s="549"/>
    </row>
    <row r="983" spans="1:23">
      <c r="A983" s="565">
        <v>1677</v>
      </c>
      <c r="B983" s="696" t="s">
        <v>6390</v>
      </c>
      <c r="C983" s="566">
        <f t="shared" si="15"/>
        <v>1677</v>
      </c>
      <c r="D983" s="700" t="s">
        <v>2224</v>
      </c>
      <c r="E983" s="701" t="s">
        <v>8863</v>
      </c>
      <c r="F983" s="566">
        <v>1</v>
      </c>
      <c r="G983" s="662">
        <v>0</v>
      </c>
      <c r="H983" s="662">
        <v>0</v>
      </c>
      <c r="I983" s="662">
        <v>34046.434631128948</v>
      </c>
      <c r="J983" s="662">
        <v>35460.989273618907</v>
      </c>
      <c r="K983" s="566" t="s">
        <v>1289</v>
      </c>
      <c r="L983" s="549"/>
      <c r="M983" s="540"/>
      <c r="O983" s="575"/>
      <c r="S983" s="550"/>
      <c r="T983" s="547"/>
      <c r="U983" s="547"/>
      <c r="V983" s="547"/>
      <c r="W983" s="549"/>
    </row>
    <row r="984" spans="1:23">
      <c r="A984" s="565">
        <v>1678</v>
      </c>
      <c r="B984" s="696" t="s">
        <v>6391</v>
      </c>
      <c r="C984" s="566">
        <f t="shared" si="15"/>
        <v>1678</v>
      </c>
      <c r="D984" s="700" t="s">
        <v>2224</v>
      </c>
      <c r="E984" s="701" t="s">
        <v>8864</v>
      </c>
      <c r="F984" s="566">
        <v>1</v>
      </c>
      <c r="G984" s="662">
        <v>0</v>
      </c>
      <c r="H984" s="662">
        <v>0</v>
      </c>
      <c r="I984" s="662">
        <v>0</v>
      </c>
      <c r="J984" s="662">
        <v>41297.473941182841</v>
      </c>
      <c r="K984" s="566" t="s">
        <v>4766</v>
      </c>
      <c r="L984" s="549"/>
      <c r="M984" s="540"/>
      <c r="O984" s="575"/>
      <c r="S984" s="550"/>
      <c r="T984" s="547"/>
      <c r="U984" s="547"/>
      <c r="V984" s="547"/>
      <c r="W984" s="549"/>
    </row>
    <row r="985" spans="1:23">
      <c r="A985" s="565">
        <v>1679</v>
      </c>
      <c r="B985" s="696" t="s">
        <v>6392</v>
      </c>
      <c r="C985" s="566">
        <f t="shared" si="15"/>
        <v>1679</v>
      </c>
      <c r="D985" s="700" t="s">
        <v>2224</v>
      </c>
      <c r="E985" s="701" t="s">
        <v>8865</v>
      </c>
      <c r="F985" s="566">
        <v>1</v>
      </c>
      <c r="G985" s="662">
        <v>0</v>
      </c>
      <c r="H985" s="662">
        <v>0</v>
      </c>
      <c r="I985" s="662">
        <v>0</v>
      </c>
      <c r="J985" s="662">
        <v>41297.473941182841</v>
      </c>
      <c r="K985" s="566" t="s">
        <v>4767</v>
      </c>
      <c r="L985" s="549"/>
      <c r="M985" s="540"/>
      <c r="O985" s="575"/>
      <c r="S985" s="550"/>
      <c r="T985" s="547"/>
      <c r="U985" s="547"/>
      <c r="V985" s="547"/>
      <c r="W985" s="549"/>
    </row>
    <row r="986" spans="1:23">
      <c r="A986" s="565">
        <v>1680</v>
      </c>
      <c r="B986" s="696" t="s">
        <v>6393</v>
      </c>
      <c r="C986" s="566">
        <f t="shared" si="15"/>
        <v>1680</v>
      </c>
      <c r="D986" s="700" t="s">
        <v>2224</v>
      </c>
      <c r="E986" s="701" t="s">
        <v>8866</v>
      </c>
      <c r="F986" s="566">
        <v>1</v>
      </c>
      <c r="G986" s="662">
        <v>36404.621179303227</v>
      </c>
      <c r="H986" s="662">
        <v>0</v>
      </c>
      <c r="I986" s="662">
        <v>0</v>
      </c>
      <c r="J986" s="662">
        <v>0</v>
      </c>
      <c r="K986" s="566" t="s">
        <v>5273</v>
      </c>
      <c r="L986" s="549"/>
      <c r="M986" s="540"/>
      <c r="O986" s="575"/>
      <c r="S986" s="550"/>
      <c r="T986" s="547"/>
      <c r="U986" s="547"/>
      <c r="V986" s="547"/>
      <c r="W986" s="549"/>
    </row>
    <row r="987" spans="1:23">
      <c r="A987" s="565">
        <v>1681</v>
      </c>
      <c r="B987" s="696" t="s">
        <v>6394</v>
      </c>
      <c r="C987" s="566">
        <f t="shared" si="15"/>
        <v>1681</v>
      </c>
      <c r="D987" s="700" t="s">
        <v>2224</v>
      </c>
      <c r="E987" s="701" t="s">
        <v>8867</v>
      </c>
      <c r="F987" s="566">
        <v>1</v>
      </c>
      <c r="G987" s="662">
        <v>36404.621179303227</v>
      </c>
      <c r="H987" s="662">
        <v>37968.21113400576</v>
      </c>
      <c r="I987" s="662">
        <v>0</v>
      </c>
      <c r="J987" s="662">
        <v>0</v>
      </c>
      <c r="K987" s="566" t="s">
        <v>1290</v>
      </c>
      <c r="L987" s="549"/>
      <c r="M987" s="540"/>
      <c r="O987" s="575"/>
      <c r="S987" s="550"/>
      <c r="T987" s="547"/>
      <c r="U987" s="547"/>
      <c r="V987" s="547"/>
      <c r="W987" s="549"/>
    </row>
    <row r="988" spans="1:23">
      <c r="A988" s="565">
        <v>1682</v>
      </c>
      <c r="B988" s="696" t="s">
        <v>6395</v>
      </c>
      <c r="C988" s="566">
        <f t="shared" si="15"/>
        <v>1682</v>
      </c>
      <c r="D988" s="700" t="s">
        <v>2224</v>
      </c>
      <c r="E988" s="701" t="s">
        <v>8868</v>
      </c>
      <c r="F988" s="566">
        <v>1</v>
      </c>
      <c r="G988" s="662">
        <v>37753.384110730462</v>
      </c>
      <c r="H988" s="662">
        <v>39378.716327874499</v>
      </c>
      <c r="I988" s="662">
        <v>41004.048545018537</v>
      </c>
      <c r="J988" s="662">
        <v>42714.900363969879</v>
      </c>
      <c r="K988" s="566" t="s">
        <v>1291</v>
      </c>
      <c r="L988" s="549"/>
      <c r="M988" s="540"/>
      <c r="O988" s="575"/>
      <c r="S988" s="550"/>
      <c r="T988" s="547"/>
      <c r="U988" s="547"/>
      <c r="V988" s="547"/>
      <c r="W988" s="549"/>
    </row>
    <row r="989" spans="1:23">
      <c r="A989" s="565">
        <v>1683</v>
      </c>
      <c r="B989" s="696" t="s">
        <v>6396</v>
      </c>
      <c r="C989" s="566">
        <f t="shared" si="15"/>
        <v>1683</v>
      </c>
      <c r="D989" s="700" t="s">
        <v>2224</v>
      </c>
      <c r="E989" s="701" t="s">
        <v>8869</v>
      </c>
      <c r="F989" s="566">
        <v>1</v>
      </c>
      <c r="G989" s="662">
        <v>0</v>
      </c>
      <c r="H989" s="662">
        <v>0</v>
      </c>
      <c r="I989" s="662">
        <v>0</v>
      </c>
      <c r="J989" s="662">
        <v>42897.336354524698</v>
      </c>
      <c r="K989" s="566" t="s">
        <v>4768</v>
      </c>
      <c r="L989" s="549"/>
      <c r="M989" s="540"/>
      <c r="O989" s="575"/>
      <c r="S989" s="550"/>
      <c r="T989" s="547"/>
      <c r="U989" s="547"/>
      <c r="V989" s="547"/>
      <c r="W989" s="549"/>
    </row>
    <row r="990" spans="1:23">
      <c r="A990" s="565">
        <v>1684</v>
      </c>
      <c r="B990" s="696" t="s">
        <v>6397</v>
      </c>
      <c r="C990" s="566">
        <f t="shared" si="15"/>
        <v>1684</v>
      </c>
      <c r="D990" s="700" t="s">
        <v>2224</v>
      </c>
      <c r="E990" s="701" t="s">
        <v>8870</v>
      </c>
      <c r="F990" s="566">
        <v>1</v>
      </c>
      <c r="G990" s="662">
        <v>41457.972336865692</v>
      </c>
      <c r="H990" s="662">
        <v>42985.178527942735</v>
      </c>
      <c r="I990" s="662">
        <v>44592.754654493503</v>
      </c>
      <c r="J990" s="662">
        <v>46284.958726344441</v>
      </c>
      <c r="K990" s="566" t="s">
        <v>1292</v>
      </c>
      <c r="L990" s="549"/>
      <c r="M990" s="540"/>
      <c r="O990" s="575"/>
      <c r="S990" s="550"/>
      <c r="T990" s="547"/>
      <c r="U990" s="547"/>
      <c r="V990" s="547"/>
      <c r="W990" s="549"/>
    </row>
    <row r="991" spans="1:23">
      <c r="A991" s="565">
        <v>1685</v>
      </c>
      <c r="B991" s="696" t="s">
        <v>6398</v>
      </c>
      <c r="C991" s="566">
        <f t="shared" si="15"/>
        <v>1685</v>
      </c>
      <c r="D991" s="700" t="s">
        <v>2224</v>
      </c>
      <c r="E991" s="701" t="s">
        <v>8871</v>
      </c>
      <c r="F991" s="566">
        <v>1</v>
      </c>
      <c r="G991" s="662">
        <v>0</v>
      </c>
      <c r="H991" s="662">
        <v>0</v>
      </c>
      <c r="I991" s="662">
        <v>63831.858875294085</v>
      </c>
      <c r="J991" s="662">
        <v>66502.605825437291</v>
      </c>
      <c r="K991" s="566" t="s">
        <v>4024</v>
      </c>
      <c r="L991" s="549"/>
      <c r="M991" s="540"/>
      <c r="O991" s="575"/>
      <c r="S991" s="550"/>
      <c r="T991" s="547"/>
      <c r="U991" s="547"/>
      <c r="V991" s="547"/>
      <c r="W991" s="549"/>
    </row>
    <row r="992" spans="1:23">
      <c r="A992" s="565">
        <v>1686</v>
      </c>
      <c r="B992" s="696" t="s">
        <v>6399</v>
      </c>
      <c r="C992" s="566">
        <f t="shared" si="15"/>
        <v>1686</v>
      </c>
      <c r="D992" s="700" t="s">
        <v>2224</v>
      </c>
      <c r="E992" s="701" t="s">
        <v>8872</v>
      </c>
      <c r="F992" s="566">
        <v>2</v>
      </c>
      <c r="G992" s="662">
        <v>34125.346741127971</v>
      </c>
      <c r="H992" s="662">
        <v>35397.908879999479</v>
      </c>
      <c r="I992" s="662">
        <v>36737.424147660102</v>
      </c>
      <c r="J992" s="662">
        <v>38147.468809947808</v>
      </c>
      <c r="K992" s="566" t="s">
        <v>1293</v>
      </c>
      <c r="L992" s="549"/>
      <c r="M992" s="540"/>
      <c r="O992" s="575"/>
      <c r="S992" s="550"/>
      <c r="T992" s="547"/>
      <c r="U992" s="547"/>
      <c r="V992" s="547"/>
      <c r="W992" s="549"/>
    </row>
    <row r="993" spans="1:23">
      <c r="A993" s="565">
        <v>1687</v>
      </c>
      <c r="B993" s="696" t="s">
        <v>6400</v>
      </c>
      <c r="C993" s="566">
        <f t="shared" si="15"/>
        <v>1687</v>
      </c>
      <c r="D993" s="700" t="s">
        <v>2224</v>
      </c>
      <c r="E993" s="701" t="s">
        <v>8873</v>
      </c>
      <c r="F993" s="566">
        <v>2</v>
      </c>
      <c r="G993" s="662">
        <v>14379.222580947055</v>
      </c>
      <c r="H993" s="662">
        <v>14837.437300083953</v>
      </c>
      <c r="I993" s="662">
        <v>15319.780496330117</v>
      </c>
      <c r="J993" s="662">
        <v>15827.474437756748</v>
      </c>
      <c r="K993" s="566" t="s">
        <v>1294</v>
      </c>
      <c r="L993" s="549"/>
      <c r="M993" s="540"/>
      <c r="O993" s="575"/>
      <c r="S993" s="550"/>
      <c r="T993" s="547"/>
      <c r="U993" s="547"/>
      <c r="V993" s="547"/>
      <c r="W993" s="549"/>
    </row>
    <row r="994" spans="1:23">
      <c r="A994" s="565">
        <v>1688</v>
      </c>
      <c r="B994" s="696" t="s">
        <v>6401</v>
      </c>
      <c r="C994" s="566">
        <f t="shared" si="15"/>
        <v>1688</v>
      </c>
      <c r="D994" s="700" t="s">
        <v>2224</v>
      </c>
      <c r="E994" s="701" t="s">
        <v>8874</v>
      </c>
      <c r="F994" s="566">
        <v>2</v>
      </c>
      <c r="G994" s="662">
        <v>16576.075347577549</v>
      </c>
      <c r="H994" s="662">
        <v>17126.729748247501</v>
      </c>
      <c r="I994" s="662">
        <v>17706.356429123694</v>
      </c>
      <c r="J994" s="662">
        <v>18316.494542592096</v>
      </c>
      <c r="K994" s="566" t="s">
        <v>1295</v>
      </c>
      <c r="L994" s="549"/>
      <c r="M994" s="540"/>
      <c r="O994" s="575"/>
      <c r="S994" s="550"/>
      <c r="T994" s="547"/>
      <c r="U994" s="547"/>
      <c r="V994" s="547"/>
      <c r="W994" s="549"/>
    </row>
    <row r="995" spans="1:23">
      <c r="A995" s="565">
        <v>1689</v>
      </c>
      <c r="B995" s="696" t="s">
        <v>6402</v>
      </c>
      <c r="C995" s="566">
        <f t="shared" si="15"/>
        <v>1689</v>
      </c>
      <c r="D995" s="700" t="s">
        <v>2224</v>
      </c>
      <c r="E995" s="701" t="s">
        <v>8875</v>
      </c>
      <c r="F995" s="566">
        <v>2</v>
      </c>
      <c r="G995" s="662">
        <v>17120.795473353443</v>
      </c>
      <c r="H995" s="662">
        <v>17693.767583619767</v>
      </c>
      <c r="I995" s="662">
        <v>18296.888972975714</v>
      </c>
      <c r="J995" s="662">
        <v>18931.744062995069</v>
      </c>
      <c r="K995" s="566" t="s">
        <v>1296</v>
      </c>
      <c r="L995" s="549"/>
      <c r="M995" s="540"/>
      <c r="O995" s="575"/>
      <c r="S995" s="550"/>
      <c r="T995" s="547"/>
      <c r="U995" s="547"/>
      <c r="V995" s="547"/>
      <c r="W995" s="549"/>
    </row>
    <row r="996" spans="1:23">
      <c r="A996" s="565">
        <v>1690</v>
      </c>
      <c r="B996" s="696" t="s">
        <v>6403</v>
      </c>
      <c r="C996" s="566">
        <f t="shared" si="15"/>
        <v>1690</v>
      </c>
      <c r="D996" s="700" t="s">
        <v>2224</v>
      </c>
      <c r="E996" s="701" t="s">
        <v>8876</v>
      </c>
      <c r="F996" s="566">
        <v>2</v>
      </c>
      <c r="G996" s="662">
        <v>17041.11354197438</v>
      </c>
      <c r="H996" s="662">
        <v>17607.476350818659</v>
      </c>
      <c r="I996" s="662">
        <v>18203.626285249979</v>
      </c>
      <c r="J996" s="662">
        <v>18831.147766842125</v>
      </c>
      <c r="K996" s="566" t="s">
        <v>1297</v>
      </c>
      <c r="L996" s="549"/>
      <c r="M996" s="540"/>
      <c r="O996" s="575"/>
      <c r="S996" s="550"/>
      <c r="T996" s="547"/>
      <c r="U996" s="547"/>
      <c r="V996" s="547"/>
      <c r="W996" s="549"/>
    </row>
    <row r="997" spans="1:23">
      <c r="A997" s="565">
        <v>1691</v>
      </c>
      <c r="B997" s="696" t="s">
        <v>6404</v>
      </c>
      <c r="C997" s="566">
        <f t="shared" si="15"/>
        <v>1691</v>
      </c>
      <c r="D997" s="700" t="s">
        <v>2224</v>
      </c>
      <c r="E997" s="701" t="s">
        <v>8877</v>
      </c>
      <c r="F997" s="566">
        <v>2</v>
      </c>
      <c r="G997" s="662">
        <v>16699.521490069554</v>
      </c>
      <c r="H997" s="662">
        <v>17256.875730537198</v>
      </c>
      <c r="I997" s="662">
        <v>17843.564404713667</v>
      </c>
      <c r="J997" s="662">
        <v>18461.126664984913</v>
      </c>
      <c r="K997" s="566" t="s">
        <v>1298</v>
      </c>
      <c r="L997" s="549"/>
      <c r="M997" s="540"/>
      <c r="O997" s="575"/>
      <c r="S997" s="550"/>
      <c r="T997" s="547"/>
      <c r="U997" s="547"/>
      <c r="V997" s="547"/>
      <c r="W997" s="549"/>
    </row>
    <row r="998" spans="1:23">
      <c r="A998" s="565">
        <v>1692</v>
      </c>
      <c r="B998" s="696" t="s">
        <v>6405</v>
      </c>
      <c r="C998" s="566">
        <f t="shared" si="15"/>
        <v>1692</v>
      </c>
      <c r="D998" s="700" t="s">
        <v>2224</v>
      </c>
      <c r="E998" s="701" t="s">
        <v>8878</v>
      </c>
      <c r="F998" s="566">
        <v>2</v>
      </c>
      <c r="G998" s="662">
        <v>13088.385156438306</v>
      </c>
      <c r="H998" s="662">
        <v>13487.478316279336</v>
      </c>
      <c r="I998" s="662">
        <v>13907.576379269896</v>
      </c>
      <c r="J998" s="662">
        <v>14349.765805917712</v>
      </c>
      <c r="K998" s="566" t="s">
        <v>1838</v>
      </c>
      <c r="L998" s="549"/>
      <c r="M998" s="540"/>
      <c r="O998" s="575"/>
      <c r="S998" s="550"/>
      <c r="T998" s="547"/>
      <c r="U998" s="547"/>
      <c r="V998" s="547"/>
      <c r="W998" s="549"/>
    </row>
    <row r="999" spans="1:23">
      <c r="A999" s="565">
        <v>1693</v>
      </c>
      <c r="B999" s="696" t="s">
        <v>6406</v>
      </c>
      <c r="C999" s="566">
        <f t="shared" si="15"/>
        <v>1693</v>
      </c>
      <c r="D999" s="700" t="s">
        <v>2224</v>
      </c>
      <c r="E999" s="701" t="s">
        <v>8879</v>
      </c>
      <c r="F999" s="566">
        <v>2</v>
      </c>
      <c r="G999" s="662">
        <v>18167.708972865927</v>
      </c>
      <c r="H999" s="662">
        <v>18778.209239836906</v>
      </c>
      <c r="I999" s="662">
        <v>19420.805360973856</v>
      </c>
      <c r="J999" s="662">
        <v>20097.262834601868</v>
      </c>
      <c r="K999" s="566" t="s">
        <v>1839</v>
      </c>
      <c r="L999" s="549"/>
      <c r="M999" s="540"/>
      <c r="O999" s="575"/>
      <c r="S999" s="550"/>
      <c r="T999" s="547"/>
      <c r="U999" s="547"/>
      <c r="V999" s="547"/>
      <c r="W999" s="549"/>
    </row>
    <row r="1000" spans="1:23">
      <c r="A1000" s="565">
        <v>1694</v>
      </c>
      <c r="B1000" s="696" t="s">
        <v>6407</v>
      </c>
      <c r="C1000" s="566">
        <f t="shared" si="15"/>
        <v>1694</v>
      </c>
      <c r="D1000" s="700" t="s">
        <v>2224</v>
      </c>
      <c r="E1000" s="701" t="s">
        <v>8880</v>
      </c>
      <c r="F1000" s="566">
        <v>2</v>
      </c>
      <c r="G1000" s="662">
        <v>18699.852627552988</v>
      </c>
      <c r="H1000" s="662">
        <v>19298.537636502351</v>
      </c>
      <c r="I1000" s="662">
        <v>19928.730000176012</v>
      </c>
      <c r="J1000" s="662">
        <v>20592.104678523385</v>
      </c>
      <c r="K1000" s="566" t="s">
        <v>1840</v>
      </c>
      <c r="L1000" s="549"/>
      <c r="M1000" s="540"/>
      <c r="O1000" s="575"/>
      <c r="S1000" s="550"/>
      <c r="T1000" s="547"/>
      <c r="U1000" s="547"/>
      <c r="V1000" s="547"/>
      <c r="W1000" s="549"/>
    </row>
    <row r="1001" spans="1:23">
      <c r="A1001" s="565">
        <v>1695</v>
      </c>
      <c r="B1001" s="696" t="s">
        <v>6408</v>
      </c>
      <c r="C1001" s="566">
        <f t="shared" si="15"/>
        <v>1695</v>
      </c>
      <c r="D1001" s="700" t="s">
        <v>2224</v>
      </c>
      <c r="E1001" s="701" t="s">
        <v>8881</v>
      </c>
      <c r="F1001" s="566">
        <v>2</v>
      </c>
      <c r="G1001" s="662">
        <v>16749.209199142475</v>
      </c>
      <c r="H1001" s="662">
        <v>17308.69109143777</v>
      </c>
      <c r="I1001" s="662">
        <v>17897.597955817531</v>
      </c>
      <c r="J1001" s="662">
        <v>18517.514213855538</v>
      </c>
      <c r="K1001" s="566" t="s">
        <v>1841</v>
      </c>
      <c r="L1001" s="549"/>
      <c r="M1001" s="540"/>
      <c r="O1001" s="575"/>
      <c r="S1001" s="550"/>
      <c r="T1001" s="547"/>
      <c r="U1001" s="547"/>
      <c r="V1001" s="547"/>
      <c r="W1001" s="549"/>
    </row>
    <row r="1002" spans="1:23">
      <c r="A1002" s="565">
        <v>1696</v>
      </c>
      <c r="B1002" s="696" t="s">
        <v>6409</v>
      </c>
      <c r="C1002" s="566">
        <f t="shared" si="15"/>
        <v>1696</v>
      </c>
      <c r="D1002" s="700" t="s">
        <v>2224</v>
      </c>
      <c r="E1002" s="701" t="s">
        <v>8882</v>
      </c>
      <c r="F1002" s="566">
        <v>2</v>
      </c>
      <c r="G1002" s="662">
        <v>14553.257018159144</v>
      </c>
      <c r="H1002" s="662">
        <v>15017.130385773826</v>
      </c>
      <c r="I1002" s="662">
        <v>15505.403845624705</v>
      </c>
      <c r="J1002" s="662">
        <v>16019.390204158628</v>
      </c>
      <c r="K1002" s="566" t="s">
        <v>1842</v>
      </c>
      <c r="L1002" s="549"/>
      <c r="M1002" s="540"/>
      <c r="O1002" s="575"/>
      <c r="S1002" s="550"/>
      <c r="T1002" s="547"/>
      <c r="U1002" s="547"/>
      <c r="V1002" s="547"/>
      <c r="W1002" s="549"/>
    </row>
    <row r="1003" spans="1:23">
      <c r="A1003" s="565">
        <v>1697</v>
      </c>
      <c r="B1003" s="696" t="s">
        <v>6410</v>
      </c>
      <c r="C1003" s="566">
        <f t="shared" si="15"/>
        <v>1697</v>
      </c>
      <c r="D1003" s="700" t="s">
        <v>2224</v>
      </c>
      <c r="E1003" s="701" t="s">
        <v>8883</v>
      </c>
      <c r="F1003" s="566">
        <v>2</v>
      </c>
      <c r="G1003" s="662">
        <v>35021.51464781339</v>
      </c>
      <c r="H1003" s="662">
        <v>36302.1677282202</v>
      </c>
      <c r="I1003" s="662">
        <v>37650.18071614363</v>
      </c>
      <c r="J1003" s="662">
        <v>39069.175111987795</v>
      </c>
      <c r="K1003" s="566" t="s">
        <v>1843</v>
      </c>
      <c r="L1003" s="549"/>
      <c r="M1003" s="540"/>
      <c r="O1003" s="575"/>
      <c r="S1003" s="550"/>
      <c r="T1003" s="547"/>
      <c r="U1003" s="547"/>
      <c r="V1003" s="547"/>
      <c r="W1003" s="549"/>
    </row>
    <row r="1004" spans="1:23">
      <c r="A1004" s="565">
        <v>1698</v>
      </c>
      <c r="B1004" s="696" t="s">
        <v>6411</v>
      </c>
      <c r="C1004" s="566">
        <f t="shared" si="15"/>
        <v>1698</v>
      </c>
      <c r="D1004" s="700" t="s">
        <v>2224</v>
      </c>
      <c r="E1004" s="701" t="s">
        <v>8884</v>
      </c>
      <c r="F1004" s="566">
        <v>2</v>
      </c>
      <c r="G1004" s="662">
        <v>18780.949887708033</v>
      </c>
      <c r="H1004" s="662">
        <v>19423.645400634563</v>
      </c>
      <c r="I1004" s="662">
        <v>20100.128334812089</v>
      </c>
      <c r="J1004" s="662">
        <v>20812.256566345204</v>
      </c>
      <c r="K1004" s="566" t="s">
        <v>1844</v>
      </c>
      <c r="L1004" s="549"/>
      <c r="M1004" s="540"/>
      <c r="O1004" s="575"/>
      <c r="S1004" s="550"/>
      <c r="T1004" s="547"/>
      <c r="U1004" s="547"/>
      <c r="V1004" s="547"/>
      <c r="W1004" s="549"/>
    </row>
    <row r="1005" spans="1:23">
      <c r="A1005" s="565">
        <v>1699</v>
      </c>
      <c r="B1005" s="696" t="s">
        <v>6412</v>
      </c>
      <c r="C1005" s="566">
        <f t="shared" si="15"/>
        <v>1699</v>
      </c>
      <c r="D1005" s="700" t="s">
        <v>2224</v>
      </c>
      <c r="E1005" s="701" t="s">
        <v>8885</v>
      </c>
      <c r="F1005" s="566">
        <v>2</v>
      </c>
      <c r="G1005" s="662">
        <v>19462.200117380766</v>
      </c>
      <c r="H1005" s="662">
        <v>20133.843932402138</v>
      </c>
      <c r="I1005" s="662">
        <v>20840.830599831843</v>
      </c>
      <c r="J1005" s="662">
        <v>21585.017995774469</v>
      </c>
      <c r="K1005" s="566" t="s">
        <v>1845</v>
      </c>
      <c r="L1005" s="549"/>
      <c r="M1005" s="540"/>
      <c r="O1005" s="575"/>
      <c r="S1005" s="550"/>
      <c r="T1005" s="547"/>
      <c r="U1005" s="547"/>
      <c r="V1005" s="547"/>
      <c r="W1005" s="549"/>
    </row>
    <row r="1006" spans="1:23">
      <c r="A1006" s="565">
        <v>1700</v>
      </c>
      <c r="B1006" s="695" t="s">
        <v>6413</v>
      </c>
      <c r="C1006" s="566">
        <f t="shared" si="15"/>
        <v>1700</v>
      </c>
      <c r="D1006" s="699" t="s">
        <v>2224</v>
      </c>
      <c r="E1006" s="701" t="s">
        <v>8886</v>
      </c>
      <c r="F1006" s="567">
        <v>1</v>
      </c>
      <c r="G1006" s="662">
        <v>17812.430469818089</v>
      </c>
      <c r="H1006" s="662">
        <v>0</v>
      </c>
      <c r="I1006" s="662">
        <v>0</v>
      </c>
      <c r="J1006" s="662">
        <v>0</v>
      </c>
      <c r="K1006" s="568" t="s">
        <v>5274</v>
      </c>
      <c r="L1006" s="549"/>
      <c r="M1006" s="540"/>
      <c r="O1006" s="575"/>
      <c r="S1006" s="550"/>
      <c r="T1006" s="547"/>
      <c r="U1006" s="547"/>
      <c r="V1006" s="547"/>
      <c r="W1006" s="549"/>
    </row>
    <row r="1007" spans="1:23">
      <c r="A1007" s="565">
        <v>1701</v>
      </c>
      <c r="B1007" s="695" t="s">
        <v>6414</v>
      </c>
      <c r="C1007" s="566">
        <f t="shared" si="15"/>
        <v>1701</v>
      </c>
      <c r="D1007" s="699" t="s">
        <v>2224</v>
      </c>
      <c r="E1007" s="701" t="s">
        <v>8887</v>
      </c>
      <c r="F1007" s="567">
        <v>1</v>
      </c>
      <c r="G1007" s="662">
        <v>18534.779627390995</v>
      </c>
      <c r="H1007" s="662">
        <v>19162.712997063954</v>
      </c>
      <c r="I1007" s="662">
        <v>0</v>
      </c>
      <c r="J1007" s="662">
        <v>0</v>
      </c>
      <c r="K1007" s="568" t="s">
        <v>1846</v>
      </c>
      <c r="L1007" s="549"/>
      <c r="M1007" s="540"/>
      <c r="O1007" s="575"/>
      <c r="S1007" s="550"/>
      <c r="T1007" s="547"/>
      <c r="U1007" s="547"/>
      <c r="V1007" s="547"/>
      <c r="W1007" s="549"/>
    </row>
    <row r="1008" spans="1:23">
      <c r="A1008" s="565">
        <v>1702</v>
      </c>
      <c r="B1008" s="695" t="s">
        <v>6415</v>
      </c>
      <c r="C1008" s="566">
        <f t="shared" si="15"/>
        <v>1702</v>
      </c>
      <c r="D1008" s="699" t="s">
        <v>2224</v>
      </c>
      <c r="E1008" s="701" t="s">
        <v>8888</v>
      </c>
      <c r="F1008" s="567">
        <v>1</v>
      </c>
      <c r="G1008" s="662">
        <v>18323.878884057311</v>
      </c>
      <c r="H1008" s="662">
        <v>18943.556935538039</v>
      </c>
      <c r="I1008" s="662">
        <v>0</v>
      </c>
      <c r="J1008" s="662">
        <v>0</v>
      </c>
      <c r="K1008" s="568" t="s">
        <v>1847</v>
      </c>
      <c r="L1008" s="549"/>
      <c r="M1008" s="540"/>
      <c r="O1008" s="575"/>
      <c r="S1008" s="550"/>
      <c r="T1008" s="547"/>
      <c r="U1008" s="547"/>
      <c r="V1008" s="547"/>
      <c r="W1008" s="549"/>
    </row>
    <row r="1009" spans="1:23">
      <c r="A1009" s="565">
        <v>1703</v>
      </c>
      <c r="B1009" s="696" t="s">
        <v>6416</v>
      </c>
      <c r="C1009" s="566">
        <f t="shared" si="15"/>
        <v>1703</v>
      </c>
      <c r="D1009" s="700" t="s">
        <v>2224</v>
      </c>
      <c r="E1009" s="701" t="s">
        <v>8889</v>
      </c>
      <c r="F1009" s="566">
        <v>1</v>
      </c>
      <c r="G1009" s="662">
        <v>19040.913188081784</v>
      </c>
      <c r="H1009" s="662">
        <v>19688.567595658398</v>
      </c>
      <c r="I1009" s="662">
        <v>20370.301650131132</v>
      </c>
      <c r="J1009" s="662">
        <v>21087.94986665382</v>
      </c>
      <c r="K1009" s="566" t="s">
        <v>1848</v>
      </c>
      <c r="L1009" s="549"/>
      <c r="M1009" s="540"/>
      <c r="O1009" s="575"/>
      <c r="S1009" s="550"/>
      <c r="T1009" s="547"/>
      <c r="U1009" s="547"/>
      <c r="V1009" s="547"/>
      <c r="W1009" s="549"/>
    </row>
    <row r="1010" spans="1:23">
      <c r="A1010" s="565">
        <v>1704</v>
      </c>
      <c r="B1010" s="696" t="s">
        <v>6417</v>
      </c>
      <c r="C1010" s="566">
        <f t="shared" si="15"/>
        <v>1704</v>
      </c>
      <c r="D1010" s="700" t="s">
        <v>2224</v>
      </c>
      <c r="E1010" s="701" t="s">
        <v>8890</v>
      </c>
      <c r="F1010" s="566">
        <v>1</v>
      </c>
      <c r="G1010" s="662">
        <v>18276.397993497168</v>
      </c>
      <c r="H1010" s="662">
        <v>18894.24152982407</v>
      </c>
      <c r="I1010" s="662">
        <v>0</v>
      </c>
      <c r="J1010" s="662">
        <v>20229.168816472484</v>
      </c>
      <c r="K1010" s="566" t="s">
        <v>1849</v>
      </c>
      <c r="L1010" s="549"/>
      <c r="M1010" s="540"/>
      <c r="O1010" s="575"/>
      <c r="S1010" s="550"/>
      <c r="T1010" s="547"/>
      <c r="U1010" s="547"/>
      <c r="V1010" s="547"/>
      <c r="W1010" s="549"/>
    </row>
    <row r="1011" spans="1:23">
      <c r="A1011" s="565">
        <v>1705</v>
      </c>
      <c r="B1011" s="696" t="s">
        <v>6418</v>
      </c>
      <c r="C1011" s="566">
        <f t="shared" si="15"/>
        <v>1705</v>
      </c>
      <c r="D1011" s="700" t="s">
        <v>2224</v>
      </c>
      <c r="E1011" s="701" t="s">
        <v>8891</v>
      </c>
      <c r="F1011" s="566">
        <v>2</v>
      </c>
      <c r="G1011" s="662">
        <v>18938.062383095497</v>
      </c>
      <c r="H1011" s="662">
        <v>19605.774413802501</v>
      </c>
      <c r="I1011" s="662">
        <v>20308.61326481264</v>
      </c>
      <c r="J1011" s="662">
        <v>21048.480018651564</v>
      </c>
      <c r="K1011" s="566" t="s">
        <v>1850</v>
      </c>
      <c r="L1011" s="549"/>
      <c r="M1011" s="540"/>
      <c r="O1011" s="575"/>
      <c r="S1011" s="550"/>
      <c r="T1011" s="547"/>
      <c r="U1011" s="547"/>
      <c r="V1011" s="547"/>
      <c r="W1011" s="549"/>
    </row>
    <row r="1012" spans="1:23">
      <c r="A1012" s="565">
        <v>1706</v>
      </c>
      <c r="B1012" s="696" t="s">
        <v>6419</v>
      </c>
      <c r="C1012" s="566">
        <f t="shared" si="15"/>
        <v>1706</v>
      </c>
      <c r="D1012" s="700" t="s">
        <v>2224</v>
      </c>
      <c r="E1012" s="701" t="s">
        <v>8892</v>
      </c>
      <c r="F1012" s="566">
        <v>2</v>
      </c>
      <c r="G1012" s="662">
        <v>19653.157628622346</v>
      </c>
      <c r="H1012" s="662">
        <v>20352.107901739149</v>
      </c>
      <c r="I1012" s="662">
        <v>21087.826839158512</v>
      </c>
      <c r="J1012" s="662">
        <v>21862.301936248128</v>
      </c>
      <c r="K1012" s="566" t="s">
        <v>1851</v>
      </c>
      <c r="L1012" s="549"/>
      <c r="M1012" s="540"/>
      <c r="O1012" s="575"/>
      <c r="S1012" s="550"/>
      <c r="T1012" s="547"/>
      <c r="U1012" s="547"/>
      <c r="V1012" s="547"/>
      <c r="W1012" s="549"/>
    </row>
    <row r="1013" spans="1:23">
      <c r="A1013" s="565">
        <v>1707</v>
      </c>
      <c r="B1013" s="696" t="s">
        <v>6420</v>
      </c>
      <c r="C1013" s="566">
        <f t="shared" si="15"/>
        <v>1707</v>
      </c>
      <c r="D1013" s="700" t="s">
        <v>2224</v>
      </c>
      <c r="E1013" s="701" t="s">
        <v>8893</v>
      </c>
      <c r="F1013" s="566">
        <v>2</v>
      </c>
      <c r="G1013" s="662">
        <v>19572.433612443161</v>
      </c>
      <c r="H1013" s="662">
        <v>20267.884165455962</v>
      </c>
      <c r="I1013" s="662">
        <v>20999.930557087177</v>
      </c>
      <c r="J1013" s="662">
        <v>21770.517076283457</v>
      </c>
      <c r="K1013" s="566" t="s">
        <v>1852</v>
      </c>
      <c r="L1013" s="549"/>
      <c r="M1013" s="540"/>
      <c r="O1013" s="575"/>
      <c r="S1013" s="550"/>
      <c r="T1013" s="547"/>
      <c r="U1013" s="547"/>
      <c r="V1013" s="547"/>
      <c r="W1013" s="549"/>
    </row>
    <row r="1014" spans="1:23">
      <c r="A1014" s="565">
        <v>1708</v>
      </c>
      <c r="B1014" s="696" t="s">
        <v>6421</v>
      </c>
      <c r="C1014" s="566">
        <f t="shared" si="15"/>
        <v>1708</v>
      </c>
      <c r="D1014" s="700" t="s">
        <v>2224</v>
      </c>
      <c r="E1014" s="701" t="s">
        <v>8894</v>
      </c>
      <c r="F1014" s="566">
        <v>2</v>
      </c>
      <c r="G1014" s="662">
        <v>20287.528857970006</v>
      </c>
      <c r="H1014" s="662">
        <v>21014.217653392618</v>
      </c>
      <c r="I1014" s="662">
        <v>21779.14413143304</v>
      </c>
      <c r="J1014" s="662">
        <v>22584.338993880021</v>
      </c>
      <c r="K1014" s="566" t="s">
        <v>1853</v>
      </c>
      <c r="L1014" s="549"/>
      <c r="M1014" s="540"/>
      <c r="O1014" s="575"/>
      <c r="S1014" s="550"/>
      <c r="T1014" s="547"/>
      <c r="U1014" s="547"/>
      <c r="V1014" s="547"/>
      <c r="W1014" s="549"/>
    </row>
    <row r="1015" spans="1:23">
      <c r="A1015" s="565">
        <v>1709</v>
      </c>
      <c r="B1015" s="696" t="s">
        <v>6422</v>
      </c>
      <c r="C1015" s="566">
        <f t="shared" si="15"/>
        <v>1709</v>
      </c>
      <c r="D1015" s="700" t="s">
        <v>2225</v>
      </c>
      <c r="E1015" s="701" t="s">
        <v>8895</v>
      </c>
      <c r="F1015" s="566">
        <v>2</v>
      </c>
      <c r="G1015" s="662">
        <v>19833.062452966486</v>
      </c>
      <c r="H1015" s="662">
        <v>20556.260455992953</v>
      </c>
      <c r="I1015" s="662">
        <v>21317.50614728413</v>
      </c>
      <c r="J1015" s="662">
        <v>22118.843008818429</v>
      </c>
      <c r="K1015" s="566" t="s">
        <v>1854</v>
      </c>
      <c r="L1015" s="549"/>
      <c r="M1015" s="540"/>
      <c r="O1015" s="575"/>
      <c r="S1015" s="550"/>
      <c r="T1015" s="547"/>
      <c r="U1015" s="547"/>
      <c r="V1015" s="547"/>
      <c r="W1015" s="549"/>
    </row>
    <row r="1016" spans="1:23">
      <c r="A1016" s="565">
        <v>1710</v>
      </c>
      <c r="B1016" s="696" t="s">
        <v>6423</v>
      </c>
      <c r="C1016" s="566">
        <f t="shared" si="15"/>
        <v>1710</v>
      </c>
      <c r="D1016" s="700" t="s">
        <v>2225</v>
      </c>
      <c r="E1016" s="701" t="s">
        <v>8896</v>
      </c>
      <c r="F1016" s="566">
        <v>2</v>
      </c>
      <c r="G1016" s="662">
        <v>21779.963715209382</v>
      </c>
      <c r="H1016" s="662">
        <v>22592.247801628029</v>
      </c>
      <c r="I1016" s="662">
        <v>23447.299046594861</v>
      </c>
      <c r="J1016" s="662">
        <v>24347.355549419579</v>
      </c>
      <c r="K1016" s="566" t="s">
        <v>1855</v>
      </c>
      <c r="L1016" s="549"/>
      <c r="M1016" s="540"/>
      <c r="O1016" s="575"/>
      <c r="S1016" s="550"/>
      <c r="T1016" s="547"/>
      <c r="U1016" s="547"/>
      <c r="V1016" s="547"/>
      <c r="W1016" s="549"/>
    </row>
    <row r="1017" spans="1:23">
      <c r="A1017" s="565">
        <v>1711</v>
      </c>
      <c r="B1017" s="696" t="s">
        <v>6424</v>
      </c>
      <c r="C1017" s="566">
        <f t="shared" si="15"/>
        <v>1711</v>
      </c>
      <c r="D1017" s="700" t="s">
        <v>2225</v>
      </c>
      <c r="E1017" s="701" t="s">
        <v>8897</v>
      </c>
      <c r="F1017" s="566">
        <v>2</v>
      </c>
      <c r="G1017" s="662">
        <v>23726.816323119445</v>
      </c>
      <c r="H1017" s="662">
        <v>24628.235147263105</v>
      </c>
      <c r="I1017" s="662">
        <v>25577.091945905599</v>
      </c>
      <c r="J1017" s="662">
        <v>26575.868090020729</v>
      </c>
      <c r="K1017" s="566" t="s">
        <v>1856</v>
      </c>
      <c r="L1017" s="549"/>
      <c r="M1017" s="540"/>
      <c r="O1017" s="575"/>
      <c r="S1017" s="550"/>
      <c r="T1017" s="547"/>
      <c r="U1017" s="547"/>
      <c r="V1017" s="547"/>
      <c r="W1017" s="549"/>
    </row>
    <row r="1018" spans="1:23">
      <c r="A1018" s="565">
        <v>1712</v>
      </c>
      <c r="B1018" s="696" t="s">
        <v>6425</v>
      </c>
      <c r="C1018" s="566">
        <f t="shared" si="15"/>
        <v>1712</v>
      </c>
      <c r="D1018" s="700" t="s">
        <v>2225</v>
      </c>
      <c r="E1018" s="701" t="s">
        <v>8898</v>
      </c>
      <c r="F1018" s="566">
        <v>2</v>
      </c>
      <c r="G1018" s="662">
        <v>28609.199302288263</v>
      </c>
      <c r="H1018" s="662">
        <v>29770.821498349669</v>
      </c>
      <c r="I1018" s="662">
        <v>30932.443694411078</v>
      </c>
      <c r="J1018" s="662">
        <v>32155.22438682639</v>
      </c>
      <c r="K1018" s="566" t="s">
        <v>1857</v>
      </c>
      <c r="L1018" s="549"/>
      <c r="M1018" s="540"/>
      <c r="O1018" s="575"/>
      <c r="S1018" s="550"/>
      <c r="T1018" s="547"/>
      <c r="U1018" s="547"/>
      <c r="V1018" s="547"/>
      <c r="W1018" s="549"/>
    </row>
    <row r="1019" spans="1:23">
      <c r="A1019" s="565">
        <v>1713</v>
      </c>
      <c r="B1019" s="696" t="s">
        <v>6426</v>
      </c>
      <c r="C1019" s="566">
        <f t="shared" si="15"/>
        <v>1713</v>
      </c>
      <c r="D1019" s="700" t="s">
        <v>2225</v>
      </c>
      <c r="E1019" s="701" t="s">
        <v>8899</v>
      </c>
      <c r="F1019" s="566">
        <v>2</v>
      </c>
      <c r="G1019" s="662">
        <v>0</v>
      </c>
      <c r="H1019" s="662">
        <v>24821.744395896294</v>
      </c>
      <c r="I1019" s="662">
        <v>25752.647745728464</v>
      </c>
      <c r="J1019" s="662">
        <v>26786.99020713451</v>
      </c>
      <c r="K1019" s="566" t="s">
        <v>3093</v>
      </c>
      <c r="L1019" s="549"/>
      <c r="M1019" s="540"/>
      <c r="O1019" s="575"/>
      <c r="S1019" s="550"/>
      <c r="T1019" s="547"/>
      <c r="U1019" s="547"/>
      <c r="V1019" s="547"/>
      <c r="W1019" s="549"/>
    </row>
    <row r="1020" spans="1:23">
      <c r="A1020" s="565">
        <v>1714</v>
      </c>
      <c r="B1020" s="696" t="s">
        <v>6427</v>
      </c>
      <c r="C1020" s="566">
        <f t="shared" si="15"/>
        <v>1714</v>
      </c>
      <c r="D1020" s="700" t="s">
        <v>2225</v>
      </c>
      <c r="E1020" s="701" t="s">
        <v>8900</v>
      </c>
      <c r="F1020" s="566">
        <v>2</v>
      </c>
      <c r="G1020" s="662">
        <v>0</v>
      </c>
      <c r="H1020" s="662">
        <v>27479.691324485844</v>
      </c>
      <c r="I1020" s="662">
        <v>28529.60317239408</v>
      </c>
      <c r="J1020" s="662">
        <v>29696.188110403065</v>
      </c>
      <c r="K1020" s="566" t="s">
        <v>3094</v>
      </c>
      <c r="L1020" s="549"/>
      <c r="M1020" s="540"/>
      <c r="O1020" s="575"/>
      <c r="S1020" s="550"/>
      <c r="T1020" s="547"/>
      <c r="U1020" s="547"/>
      <c r="V1020" s="547"/>
      <c r="W1020" s="549"/>
    </row>
    <row r="1021" spans="1:23">
      <c r="A1021" s="565">
        <v>1715</v>
      </c>
      <c r="B1021" s="696" t="s">
        <v>6428</v>
      </c>
      <c r="C1021" s="566">
        <f t="shared" si="15"/>
        <v>1715</v>
      </c>
      <c r="D1021" s="700" t="s">
        <v>2225</v>
      </c>
      <c r="E1021" s="701" t="s">
        <v>8901</v>
      </c>
      <c r="F1021" s="566">
        <v>2</v>
      </c>
      <c r="G1021" s="662">
        <v>0</v>
      </c>
      <c r="H1021" s="662">
        <v>22557.91907946358</v>
      </c>
      <c r="I1021" s="662">
        <v>23387.426799700268</v>
      </c>
      <c r="J1021" s="662">
        <v>24309.183134962408</v>
      </c>
      <c r="K1021" s="566" t="s">
        <v>3095</v>
      </c>
      <c r="L1021" s="549"/>
      <c r="M1021" s="540"/>
      <c r="O1021" s="575"/>
      <c r="S1021" s="550"/>
      <c r="T1021" s="547"/>
      <c r="U1021" s="547"/>
      <c r="V1021" s="547"/>
      <c r="W1021" s="549"/>
    </row>
    <row r="1022" spans="1:23">
      <c r="A1022" s="565">
        <v>1716</v>
      </c>
      <c r="B1022" s="696" t="s">
        <v>6429</v>
      </c>
      <c r="C1022" s="566">
        <f t="shared" si="15"/>
        <v>1716</v>
      </c>
      <c r="D1022" s="700" t="s">
        <v>2225</v>
      </c>
      <c r="E1022" s="701" t="s">
        <v>8902</v>
      </c>
      <c r="F1022" s="566">
        <v>2</v>
      </c>
      <c r="G1022" s="662">
        <v>0</v>
      </c>
      <c r="H1022" s="662">
        <v>24102.138258476345</v>
      </c>
      <c r="I1022" s="662">
        <v>25000.783785649302</v>
      </c>
      <c r="J1022" s="662">
        <v>25999.36531243315</v>
      </c>
      <c r="K1022" s="566" t="s">
        <v>3096</v>
      </c>
      <c r="L1022" s="549"/>
      <c r="M1022" s="540"/>
      <c r="O1022" s="572"/>
      <c r="S1022" s="550"/>
      <c r="T1022" s="547"/>
      <c r="U1022" s="547"/>
      <c r="V1022" s="547"/>
      <c r="W1022" s="549"/>
    </row>
    <row r="1023" spans="1:23">
      <c r="A1023" s="565">
        <v>1717</v>
      </c>
      <c r="B1023" s="696" t="s">
        <v>6430</v>
      </c>
      <c r="C1023" s="566">
        <f t="shared" si="15"/>
        <v>1717</v>
      </c>
      <c r="D1023" s="700" t="s">
        <v>2225</v>
      </c>
      <c r="E1023" s="701" t="s">
        <v>8903</v>
      </c>
      <c r="F1023" s="566">
        <v>2</v>
      </c>
      <c r="G1023" s="662">
        <v>0</v>
      </c>
      <c r="H1023" s="662">
        <v>25476.493327797703</v>
      </c>
      <c r="I1023" s="662">
        <v>26436.686585987103</v>
      </c>
      <c r="J1023" s="662">
        <v>27503.627450382108</v>
      </c>
      <c r="K1023" s="566" t="s">
        <v>3097</v>
      </c>
      <c r="L1023" s="549"/>
      <c r="M1023" s="540"/>
      <c r="O1023" s="572"/>
      <c r="S1023" s="550"/>
      <c r="T1023" s="547"/>
      <c r="U1023" s="547"/>
      <c r="V1023" s="547"/>
      <c r="W1023" s="549"/>
    </row>
    <row r="1024" spans="1:23">
      <c r="A1024" s="565">
        <v>1718</v>
      </c>
      <c r="B1024" s="696" t="s">
        <v>6431</v>
      </c>
      <c r="C1024" s="566">
        <f t="shared" si="15"/>
        <v>1718</v>
      </c>
      <c r="D1024" s="700" t="s">
        <v>2225</v>
      </c>
      <c r="E1024" s="701" t="s">
        <v>8904</v>
      </c>
      <c r="F1024" s="566">
        <v>2</v>
      </c>
      <c r="G1024" s="662">
        <v>0</v>
      </c>
      <c r="H1024" s="662">
        <v>27020.712506810458</v>
      </c>
      <c r="I1024" s="662">
        <v>28050.04357193613</v>
      </c>
      <c r="J1024" s="662">
        <v>29193.809627852846</v>
      </c>
      <c r="K1024" s="566" t="s">
        <v>3098</v>
      </c>
      <c r="L1024" s="549"/>
      <c r="M1024" s="540"/>
      <c r="O1024" s="572"/>
      <c r="S1024" s="550"/>
      <c r="T1024" s="547"/>
      <c r="U1024" s="547"/>
      <c r="V1024" s="547"/>
      <c r="W1024" s="549"/>
    </row>
    <row r="1025" spans="1:23">
      <c r="A1025" s="565">
        <v>1719</v>
      </c>
      <c r="B1025" s="696" t="s">
        <v>6432</v>
      </c>
      <c r="C1025" s="566">
        <f t="shared" si="15"/>
        <v>1719</v>
      </c>
      <c r="D1025" s="700" t="s">
        <v>2225</v>
      </c>
      <c r="E1025" s="701" t="s">
        <v>8905</v>
      </c>
      <c r="F1025" s="566">
        <v>2</v>
      </c>
      <c r="G1025" s="662">
        <v>0</v>
      </c>
      <c r="H1025" s="662">
        <v>27255.433822020408</v>
      </c>
      <c r="I1025" s="662">
        <v>28295.274223035041</v>
      </c>
      <c r="J1025" s="662">
        <v>29450.717318828396</v>
      </c>
      <c r="K1025" s="566" t="s">
        <v>3099</v>
      </c>
      <c r="L1025" s="549"/>
      <c r="M1025" s="540"/>
      <c r="O1025" s="572"/>
      <c r="S1025" s="550"/>
      <c r="T1025" s="547"/>
      <c r="U1025" s="547"/>
      <c r="V1025" s="547"/>
      <c r="W1025" s="549"/>
    </row>
    <row r="1026" spans="1:23">
      <c r="A1026" s="565">
        <v>1720</v>
      </c>
      <c r="B1026" s="696" t="s">
        <v>6433</v>
      </c>
      <c r="C1026" s="566">
        <f t="shared" si="15"/>
        <v>1720</v>
      </c>
      <c r="D1026" s="700" t="s">
        <v>2225</v>
      </c>
      <c r="E1026" s="701" t="s">
        <v>8906</v>
      </c>
      <c r="F1026" s="566">
        <v>2</v>
      </c>
      <c r="G1026" s="662">
        <v>0</v>
      </c>
      <c r="H1026" s="662">
        <v>28799.653001033166</v>
      </c>
      <c r="I1026" s="662">
        <v>29908.631208984069</v>
      </c>
      <c r="J1026" s="662">
        <v>31140.899496299142</v>
      </c>
      <c r="K1026" s="566" t="s">
        <v>3100</v>
      </c>
      <c r="L1026" s="549"/>
      <c r="M1026" s="540"/>
      <c r="O1026" s="572"/>
      <c r="S1026" s="550"/>
      <c r="T1026" s="547"/>
      <c r="U1026" s="547"/>
      <c r="V1026" s="547"/>
      <c r="W1026" s="549"/>
    </row>
    <row r="1027" spans="1:23">
      <c r="A1027" s="565">
        <v>1721</v>
      </c>
      <c r="B1027" s="695" t="s">
        <v>6434</v>
      </c>
      <c r="C1027" s="566">
        <f t="shared" si="15"/>
        <v>1721</v>
      </c>
      <c r="D1027" s="699" t="s">
        <v>2225</v>
      </c>
      <c r="E1027" s="701" t="s">
        <v>8907</v>
      </c>
      <c r="F1027" s="567">
        <v>2</v>
      </c>
      <c r="G1027" s="662">
        <v>0</v>
      </c>
      <c r="H1027" s="662">
        <v>27748.956540766318</v>
      </c>
      <c r="I1027" s="662">
        <v>28869.952368923598</v>
      </c>
      <c r="J1027" s="662">
        <v>29990.899542748044</v>
      </c>
      <c r="K1027" s="568" t="s">
        <v>3101</v>
      </c>
      <c r="L1027" s="549"/>
      <c r="M1027" s="540"/>
      <c r="O1027" s="572"/>
      <c r="S1027" s="550"/>
      <c r="T1027" s="547"/>
      <c r="U1027" s="547"/>
      <c r="V1027" s="547"/>
      <c r="W1027" s="549"/>
    </row>
    <row r="1028" spans="1:23">
      <c r="A1028" s="565">
        <v>1722</v>
      </c>
      <c r="B1028" s="695" t="s">
        <v>6435</v>
      </c>
      <c r="C1028" s="566">
        <f t="shared" si="15"/>
        <v>1722</v>
      </c>
      <c r="D1028" s="699" t="s">
        <v>2225</v>
      </c>
      <c r="E1028" s="701" t="s">
        <v>8908</v>
      </c>
      <c r="F1028" s="567">
        <v>2</v>
      </c>
      <c r="G1028" s="662">
        <v>0</v>
      </c>
      <c r="H1028" s="662">
        <v>29293.175719779083</v>
      </c>
      <c r="I1028" s="662">
        <v>30487.153047165346</v>
      </c>
      <c r="J1028" s="662">
        <v>31681.081720218783</v>
      </c>
      <c r="K1028" s="568" t="s">
        <v>3102</v>
      </c>
      <c r="L1028" s="549"/>
      <c r="M1028" s="540"/>
      <c r="O1028" s="572"/>
      <c r="S1028" s="550"/>
      <c r="T1028" s="547"/>
      <c r="U1028" s="547"/>
      <c r="V1028" s="547"/>
      <c r="W1028" s="549"/>
    </row>
    <row r="1029" spans="1:23">
      <c r="A1029" s="565">
        <v>1723</v>
      </c>
      <c r="B1029" s="695" t="s">
        <v>6436</v>
      </c>
      <c r="C1029" s="566">
        <f t="shared" si="15"/>
        <v>1723</v>
      </c>
      <c r="D1029" s="699" t="s">
        <v>2225</v>
      </c>
      <c r="E1029" s="701" t="s">
        <v>8909</v>
      </c>
      <c r="F1029" s="567">
        <v>2</v>
      </c>
      <c r="G1029" s="662">
        <v>0</v>
      </c>
      <c r="H1029" s="662">
        <v>28429.040398070105</v>
      </c>
      <c r="I1029" s="662">
        <v>29521.427478529615</v>
      </c>
      <c r="J1029" s="662">
        <v>30735.255773706165</v>
      </c>
      <c r="K1029" s="568" t="s">
        <v>3103</v>
      </c>
      <c r="L1029" s="549"/>
      <c r="M1029" s="540"/>
      <c r="O1029" s="572"/>
      <c r="S1029" s="550"/>
      <c r="T1029" s="547"/>
      <c r="U1029" s="547"/>
      <c r="V1029" s="547"/>
      <c r="W1029" s="549"/>
    </row>
    <row r="1030" spans="1:23">
      <c r="A1030" s="565">
        <v>1724</v>
      </c>
      <c r="B1030" s="696" t="s">
        <v>6437</v>
      </c>
      <c r="C1030" s="566">
        <f t="shared" si="15"/>
        <v>1724</v>
      </c>
      <c r="D1030" s="700" t="s">
        <v>2225</v>
      </c>
      <c r="E1030" s="701" t="s">
        <v>8910</v>
      </c>
      <c r="F1030" s="566">
        <v>2</v>
      </c>
      <c r="G1030" s="662">
        <v>0</v>
      </c>
      <c r="H1030" s="662">
        <v>29973.259577082863</v>
      </c>
      <c r="I1030" s="662">
        <v>31134.784464478642</v>
      </c>
      <c r="J1030" s="662">
        <v>32425.437951176904</v>
      </c>
      <c r="K1030" s="566" t="s">
        <v>3104</v>
      </c>
      <c r="L1030" s="549"/>
      <c r="M1030" s="540"/>
      <c r="O1030" s="572"/>
      <c r="S1030" s="550"/>
      <c r="T1030" s="547"/>
      <c r="U1030" s="547"/>
      <c r="V1030" s="547"/>
      <c r="W1030" s="549"/>
    </row>
    <row r="1031" spans="1:23">
      <c r="A1031" s="565">
        <v>1725</v>
      </c>
      <c r="B1031" s="696" t="s">
        <v>6438</v>
      </c>
      <c r="C1031" s="566">
        <f t="shared" si="15"/>
        <v>1725</v>
      </c>
      <c r="D1031" s="700" t="s">
        <v>2226</v>
      </c>
      <c r="E1031" s="701" t="s">
        <v>8911</v>
      </c>
      <c r="F1031" s="566">
        <v>2</v>
      </c>
      <c r="G1031" s="662">
        <v>20575.239458493241</v>
      </c>
      <c r="H1031" s="662">
        <v>21304.989645339054</v>
      </c>
      <c r="I1031" s="662">
        <v>22073.129424023075</v>
      </c>
      <c r="J1031" s="662">
        <v>22881.688455745192</v>
      </c>
      <c r="K1031" s="566" t="s">
        <v>1858</v>
      </c>
      <c r="L1031" s="549"/>
      <c r="M1031" s="540"/>
      <c r="O1031" s="559"/>
      <c r="S1031" s="550"/>
      <c r="T1031" s="547"/>
      <c r="U1031" s="547"/>
      <c r="V1031" s="547"/>
      <c r="W1031" s="549"/>
    </row>
    <row r="1032" spans="1:23">
      <c r="A1032" s="565">
        <v>1726</v>
      </c>
      <c r="B1032" s="696" t="s">
        <v>6439</v>
      </c>
      <c r="C1032" s="566">
        <f t="shared" si="15"/>
        <v>1726</v>
      </c>
      <c r="D1032" s="700" t="s">
        <v>2226</v>
      </c>
      <c r="E1032" s="701" t="s">
        <v>8912</v>
      </c>
      <c r="F1032" s="566">
        <v>1</v>
      </c>
      <c r="G1032" s="662">
        <v>26752.10951192601</v>
      </c>
      <c r="H1032" s="662">
        <v>27607.980182965999</v>
      </c>
      <c r="I1032" s="662">
        <v>28508.869651302706</v>
      </c>
      <c r="J1032" s="662">
        <v>29457.208589641865</v>
      </c>
      <c r="K1032" s="566" t="s">
        <v>1859</v>
      </c>
      <c r="L1032" s="549"/>
      <c r="M1032" s="540"/>
      <c r="O1032" s="559"/>
      <c r="S1032" s="550"/>
      <c r="T1032" s="547"/>
      <c r="U1032" s="547"/>
      <c r="V1032" s="547"/>
      <c r="W1032" s="549"/>
    </row>
    <row r="1033" spans="1:23">
      <c r="A1033" s="565">
        <v>1727</v>
      </c>
      <c r="B1033" s="696" t="s">
        <v>6440</v>
      </c>
      <c r="C1033" s="566">
        <f t="shared" ref="C1033:C1096" si="16">A1033</f>
        <v>1727</v>
      </c>
      <c r="D1033" s="700" t="s">
        <v>2226</v>
      </c>
      <c r="E1033" s="701" t="s">
        <v>8913</v>
      </c>
      <c r="F1033" s="566">
        <v>1</v>
      </c>
      <c r="G1033" s="662">
        <v>26288.042568499703</v>
      </c>
      <c r="H1033" s="662">
        <v>27127.685931616787</v>
      </c>
      <c r="I1033" s="662">
        <v>28011.49222135952</v>
      </c>
      <c r="J1033" s="662">
        <v>28941.823640779996</v>
      </c>
      <c r="K1033" s="566" t="s">
        <v>1860</v>
      </c>
      <c r="L1033" s="549"/>
      <c r="M1033" s="540"/>
      <c r="O1033" s="559"/>
      <c r="S1033" s="550"/>
      <c r="T1033" s="547"/>
      <c r="U1033" s="547"/>
      <c r="V1033" s="547"/>
      <c r="W1033" s="549"/>
    </row>
    <row r="1034" spans="1:23">
      <c r="A1034" s="565">
        <v>1728</v>
      </c>
      <c r="B1034" s="696" t="s">
        <v>6441</v>
      </c>
      <c r="C1034" s="566">
        <f t="shared" si="16"/>
        <v>1728</v>
      </c>
      <c r="D1034" s="700" t="s">
        <v>2226</v>
      </c>
      <c r="E1034" s="701" t="s">
        <v>8914</v>
      </c>
      <c r="F1034" s="566">
        <v>1</v>
      </c>
      <c r="G1034" s="662">
        <v>0</v>
      </c>
      <c r="H1034" s="662">
        <v>9793.8558924350018</v>
      </c>
      <c r="I1034" s="662">
        <v>9990.5265988883857</v>
      </c>
      <c r="J1034" s="662">
        <v>10197.553442005332</v>
      </c>
      <c r="K1034" s="566" t="s">
        <v>3105</v>
      </c>
      <c r="L1034" s="549"/>
      <c r="M1034" s="540"/>
      <c r="O1034" s="559"/>
      <c r="S1034" s="550"/>
      <c r="T1034" s="547"/>
      <c r="U1034" s="547"/>
      <c r="V1034" s="547"/>
      <c r="W1034" s="549"/>
    </row>
    <row r="1035" spans="1:23">
      <c r="A1035" s="565">
        <v>1729</v>
      </c>
      <c r="B1035" s="696" t="s">
        <v>6442</v>
      </c>
      <c r="C1035" s="566">
        <f t="shared" si="16"/>
        <v>1729</v>
      </c>
      <c r="D1035" s="700" t="s">
        <v>2226</v>
      </c>
      <c r="E1035" s="701" t="s">
        <v>8915</v>
      </c>
      <c r="F1035" s="566">
        <v>1</v>
      </c>
      <c r="G1035" s="662">
        <v>0</v>
      </c>
      <c r="H1035" s="662">
        <v>11053.688598842107</v>
      </c>
      <c r="I1035" s="662">
        <v>11283.345518372018</v>
      </c>
      <c r="J1035" s="662">
        <v>11525.116560727523</v>
      </c>
      <c r="K1035" s="566" t="s">
        <v>3106</v>
      </c>
      <c r="L1035" s="549"/>
      <c r="M1035" s="540"/>
      <c r="O1035" s="559"/>
      <c r="S1035" s="550"/>
      <c r="T1035" s="547"/>
      <c r="U1035" s="547"/>
      <c r="V1035" s="547"/>
      <c r="W1035" s="549"/>
    </row>
    <row r="1036" spans="1:23">
      <c r="A1036" s="565">
        <v>1730</v>
      </c>
      <c r="B1036" s="696" t="s">
        <v>6443</v>
      </c>
      <c r="C1036" s="566">
        <f t="shared" si="16"/>
        <v>1730</v>
      </c>
      <c r="D1036" s="700" t="s">
        <v>2226</v>
      </c>
      <c r="E1036" s="701" t="s">
        <v>8916</v>
      </c>
      <c r="F1036" s="566">
        <v>1</v>
      </c>
      <c r="G1036" s="662">
        <v>11435.944997247234</v>
      </c>
      <c r="H1036" s="662">
        <v>11694.464853219106</v>
      </c>
      <c r="I1036" s="662">
        <v>11966.569147715723</v>
      </c>
      <c r="J1036" s="662">
        <v>12253.025001971406</v>
      </c>
      <c r="K1036" s="566" t="s">
        <v>1861</v>
      </c>
      <c r="L1036" s="549"/>
      <c r="M1036" s="540"/>
      <c r="O1036" s="559"/>
      <c r="S1036" s="550"/>
      <c r="T1036" s="547"/>
      <c r="U1036" s="547"/>
      <c r="V1036" s="547"/>
      <c r="W1036" s="549"/>
    </row>
    <row r="1037" spans="1:23">
      <c r="A1037" s="565">
        <v>1731</v>
      </c>
      <c r="B1037" s="696" t="s">
        <v>6444</v>
      </c>
      <c r="C1037" s="566">
        <f t="shared" si="16"/>
        <v>1731</v>
      </c>
      <c r="D1037" s="700" t="s">
        <v>2226</v>
      </c>
      <c r="E1037" s="701" t="s">
        <v>8917</v>
      </c>
      <c r="F1037" s="566">
        <v>1</v>
      </c>
      <c r="G1037" s="662">
        <v>0</v>
      </c>
      <c r="H1037" s="662">
        <v>12151.707930114357</v>
      </c>
      <c r="I1037" s="662">
        <v>0</v>
      </c>
      <c r="J1037" s="662">
        <v>0</v>
      </c>
      <c r="K1037" s="566" t="s">
        <v>3107</v>
      </c>
      <c r="L1037" s="549"/>
      <c r="M1037" s="540"/>
      <c r="O1037" s="559"/>
      <c r="S1037" s="550"/>
      <c r="T1037" s="547"/>
      <c r="U1037" s="547"/>
      <c r="V1037" s="547"/>
      <c r="W1037" s="549"/>
    </row>
    <row r="1038" spans="1:23">
      <c r="A1038" s="565">
        <v>1732</v>
      </c>
      <c r="B1038" s="695" t="s">
        <v>6445</v>
      </c>
      <c r="C1038" s="566">
        <f t="shared" si="16"/>
        <v>1732</v>
      </c>
      <c r="D1038" s="699" t="s">
        <v>2226</v>
      </c>
      <c r="E1038" s="701" t="s">
        <v>8918</v>
      </c>
      <c r="F1038" s="567">
        <v>1</v>
      </c>
      <c r="G1038" s="662">
        <v>0</v>
      </c>
      <c r="H1038" s="662">
        <v>12382.869894592723</v>
      </c>
      <c r="I1038" s="662">
        <v>12647.366903515485</v>
      </c>
      <c r="J1038" s="662">
        <v>12925.799948195385</v>
      </c>
      <c r="K1038" s="568" t="s">
        <v>3108</v>
      </c>
      <c r="L1038" s="549"/>
      <c r="M1038" s="540"/>
      <c r="O1038" s="559"/>
      <c r="S1038" s="550"/>
      <c r="T1038" s="547"/>
      <c r="U1038" s="547"/>
      <c r="V1038" s="547"/>
      <c r="W1038" s="549"/>
    </row>
    <row r="1039" spans="1:23">
      <c r="A1039" s="565">
        <v>1733</v>
      </c>
      <c r="B1039" s="695" t="s">
        <v>6446</v>
      </c>
      <c r="C1039" s="566">
        <f t="shared" si="16"/>
        <v>1733</v>
      </c>
      <c r="D1039" s="699" t="s">
        <v>2226</v>
      </c>
      <c r="E1039" s="701" t="s">
        <v>8919</v>
      </c>
      <c r="F1039" s="567">
        <v>1</v>
      </c>
      <c r="G1039" s="662">
        <v>0</v>
      </c>
      <c r="H1039" s="662">
        <v>13134.146279147422</v>
      </c>
      <c r="I1039" s="662">
        <v>13418.332733084855</v>
      </c>
      <c r="J1039" s="662">
        <v>13717.478051091879</v>
      </c>
      <c r="K1039" s="568" t="s">
        <v>3109</v>
      </c>
      <c r="L1039" s="549"/>
      <c r="M1039" s="540"/>
      <c r="O1039" s="559"/>
      <c r="S1039" s="550"/>
      <c r="T1039" s="547"/>
      <c r="U1039" s="547"/>
      <c r="V1039" s="547"/>
      <c r="W1039" s="549"/>
    </row>
    <row r="1040" spans="1:23">
      <c r="A1040" s="565">
        <v>1734</v>
      </c>
      <c r="B1040" s="696" t="s">
        <v>6447</v>
      </c>
      <c r="C1040" s="566">
        <f t="shared" si="16"/>
        <v>1734</v>
      </c>
      <c r="D1040" s="700" t="s">
        <v>2226</v>
      </c>
      <c r="E1040" s="701" t="s">
        <v>8920</v>
      </c>
      <c r="F1040" s="566">
        <v>1</v>
      </c>
      <c r="G1040" s="662">
        <v>11843.290867210546</v>
      </c>
      <c r="H1040" s="662">
        <v>12113.317541697497</v>
      </c>
      <c r="I1040" s="662">
        <v>12397.535959019693</v>
      </c>
      <c r="J1040" s="662">
        <v>12696.74520379625</v>
      </c>
      <c r="K1040" s="566" t="s">
        <v>1862</v>
      </c>
      <c r="L1040" s="549"/>
      <c r="M1040" s="540"/>
      <c r="O1040" s="559"/>
      <c r="S1040" s="550"/>
      <c r="T1040" s="547"/>
      <c r="U1040" s="547"/>
      <c r="V1040" s="547"/>
      <c r="W1040" s="549"/>
    </row>
    <row r="1041" spans="1:23">
      <c r="A1041" s="565">
        <v>1735</v>
      </c>
      <c r="B1041" s="696" t="s">
        <v>6448</v>
      </c>
      <c r="C1041" s="566">
        <f t="shared" si="16"/>
        <v>1735</v>
      </c>
      <c r="D1041" s="700" t="s">
        <v>2226</v>
      </c>
      <c r="E1041" s="701" t="s">
        <v>8921</v>
      </c>
      <c r="F1041" s="566">
        <v>1</v>
      </c>
      <c r="G1041" s="662">
        <v>12626.65814433531</v>
      </c>
      <c r="H1041" s="662">
        <v>0</v>
      </c>
      <c r="I1041" s="662">
        <v>13226.387132663747</v>
      </c>
      <c r="J1041" s="662">
        <v>13550.112293554343</v>
      </c>
      <c r="K1041" s="566" t="s">
        <v>1863</v>
      </c>
      <c r="L1041" s="549"/>
      <c r="M1041" s="540"/>
      <c r="O1041" s="559"/>
      <c r="S1041" s="550"/>
      <c r="T1041" s="547"/>
      <c r="U1041" s="547"/>
      <c r="V1041" s="547"/>
      <c r="W1041" s="549"/>
    </row>
    <row r="1042" spans="1:23">
      <c r="A1042" s="565">
        <v>1736</v>
      </c>
      <c r="B1042" s="696" t="s">
        <v>6449</v>
      </c>
      <c r="C1042" s="566">
        <f t="shared" si="16"/>
        <v>1736</v>
      </c>
      <c r="D1042" s="700" t="s">
        <v>2226</v>
      </c>
      <c r="E1042" s="701" t="s">
        <v>8922</v>
      </c>
      <c r="F1042" s="566">
        <v>1</v>
      </c>
      <c r="G1042" s="662">
        <v>0</v>
      </c>
      <c r="H1042" s="662">
        <v>12093.917438994762</v>
      </c>
      <c r="I1042" s="662">
        <v>0</v>
      </c>
      <c r="J1042" s="662">
        <v>0</v>
      </c>
      <c r="K1042" s="566" t="s">
        <v>3110</v>
      </c>
      <c r="L1042" s="549"/>
      <c r="M1042" s="540"/>
      <c r="O1042" s="559"/>
      <c r="S1042" s="550"/>
      <c r="T1042" s="547"/>
      <c r="U1042" s="547"/>
      <c r="V1042" s="547"/>
      <c r="W1042" s="549"/>
    </row>
    <row r="1043" spans="1:23">
      <c r="A1043" s="565">
        <v>1737</v>
      </c>
      <c r="B1043" s="696" t="s">
        <v>6450</v>
      </c>
      <c r="C1043" s="566">
        <f t="shared" si="16"/>
        <v>1737</v>
      </c>
      <c r="D1043" s="700" t="s">
        <v>2226</v>
      </c>
      <c r="E1043" s="701" t="s">
        <v>8923</v>
      </c>
      <c r="F1043" s="566">
        <v>1</v>
      </c>
      <c r="G1043" s="662">
        <v>0</v>
      </c>
      <c r="H1043" s="662">
        <v>0</v>
      </c>
      <c r="I1043" s="662">
        <v>10290.725857557381</v>
      </c>
      <c r="J1043" s="662">
        <v>10506.127107482516</v>
      </c>
      <c r="K1043" s="566" t="s">
        <v>4025</v>
      </c>
      <c r="L1043" s="549"/>
      <c r="M1043" s="540"/>
      <c r="O1043" s="559"/>
      <c r="S1043" s="550"/>
      <c r="T1043" s="547"/>
      <c r="U1043" s="547"/>
      <c r="V1043" s="547"/>
      <c r="W1043" s="549"/>
    </row>
    <row r="1044" spans="1:23">
      <c r="A1044" s="565">
        <v>1738</v>
      </c>
      <c r="B1044" s="695" t="s">
        <v>6451</v>
      </c>
      <c r="C1044" s="566">
        <f t="shared" si="16"/>
        <v>1738</v>
      </c>
      <c r="D1044" s="699" t="s">
        <v>2226</v>
      </c>
      <c r="E1044" s="701" t="s">
        <v>8924</v>
      </c>
      <c r="F1044" s="567">
        <v>1</v>
      </c>
      <c r="G1044" s="662">
        <v>0</v>
      </c>
      <c r="H1044" s="662">
        <v>0</v>
      </c>
      <c r="I1044" s="662">
        <v>11838.574605175207</v>
      </c>
      <c r="J1044" s="662">
        <v>12082.359340770841</v>
      </c>
      <c r="K1044" s="568" t="s">
        <v>4026</v>
      </c>
      <c r="L1044" s="549"/>
      <c r="M1044" s="540"/>
      <c r="O1044" s="559"/>
      <c r="S1044" s="550"/>
      <c r="T1044" s="547"/>
      <c r="U1044" s="547"/>
      <c r="V1044" s="547"/>
      <c r="W1044" s="549"/>
    </row>
    <row r="1045" spans="1:23">
      <c r="A1045" s="565">
        <v>1739</v>
      </c>
      <c r="B1045" s="695" t="s">
        <v>6452</v>
      </c>
      <c r="C1045" s="566">
        <f t="shared" si="16"/>
        <v>1739</v>
      </c>
      <c r="D1045" s="699" t="s">
        <v>2226</v>
      </c>
      <c r="E1045" s="701" t="s">
        <v>8925</v>
      </c>
      <c r="F1045" s="567">
        <v>1</v>
      </c>
      <c r="G1045" s="662">
        <v>0</v>
      </c>
      <c r="H1045" s="662">
        <v>0</v>
      </c>
      <c r="I1045" s="662">
        <v>11184.6418517191</v>
      </c>
      <c r="J1045" s="662">
        <v>11417.769994834396</v>
      </c>
      <c r="K1045" s="568" t="s">
        <v>4027</v>
      </c>
      <c r="L1045" s="549"/>
      <c r="M1045" s="540"/>
      <c r="O1045" s="559"/>
      <c r="S1045" s="550"/>
      <c r="T1045" s="547"/>
      <c r="U1045" s="547"/>
      <c r="V1045" s="547"/>
      <c r="W1045" s="549"/>
    </row>
    <row r="1046" spans="1:23">
      <c r="A1046" s="565">
        <v>1740</v>
      </c>
      <c r="B1046" s="696" t="s">
        <v>6453</v>
      </c>
      <c r="C1046" s="566">
        <f t="shared" si="16"/>
        <v>1740</v>
      </c>
      <c r="D1046" s="700" t="s">
        <v>2226</v>
      </c>
      <c r="E1046" s="701" t="s">
        <v>8926</v>
      </c>
      <c r="F1046" s="566">
        <v>1</v>
      </c>
      <c r="G1046" s="662">
        <v>0</v>
      </c>
      <c r="H1046" s="662">
        <v>0</v>
      </c>
      <c r="I1046" s="662">
        <v>10082.808348032961</v>
      </c>
      <c r="J1046" s="662">
        <v>10287.054376675431</v>
      </c>
      <c r="K1046" s="566" t="s">
        <v>4030</v>
      </c>
      <c r="L1046" s="549"/>
      <c r="M1046" s="540"/>
      <c r="O1046" s="559"/>
      <c r="S1046" s="550"/>
      <c r="T1046" s="547"/>
      <c r="U1046" s="547"/>
      <c r="V1046" s="547"/>
      <c r="W1046" s="549"/>
    </row>
    <row r="1047" spans="1:23">
      <c r="A1047" s="565">
        <v>1741</v>
      </c>
      <c r="B1047" s="696" t="s">
        <v>6454</v>
      </c>
      <c r="C1047" s="566">
        <f t="shared" si="16"/>
        <v>1741</v>
      </c>
      <c r="D1047" s="700" t="s">
        <v>2226</v>
      </c>
      <c r="E1047" s="701" t="s">
        <v>8927</v>
      </c>
      <c r="F1047" s="566">
        <v>1</v>
      </c>
      <c r="G1047" s="662">
        <v>0</v>
      </c>
      <c r="H1047" s="662">
        <v>0</v>
      </c>
      <c r="I1047" s="662">
        <v>10718.503750348475</v>
      </c>
      <c r="J1047" s="662">
        <v>10939.40270245303</v>
      </c>
      <c r="K1047" s="566" t="s">
        <v>4029</v>
      </c>
      <c r="L1047" s="549"/>
      <c r="M1047" s="540"/>
      <c r="O1047" s="559"/>
      <c r="S1047" s="550"/>
      <c r="T1047" s="547"/>
      <c r="U1047" s="547"/>
      <c r="V1047" s="547"/>
      <c r="W1047" s="549"/>
    </row>
    <row r="1048" spans="1:23">
      <c r="A1048" s="565">
        <v>1742</v>
      </c>
      <c r="B1048" s="696" t="s">
        <v>6455</v>
      </c>
      <c r="C1048" s="566">
        <f t="shared" si="16"/>
        <v>1742</v>
      </c>
      <c r="D1048" s="700" t="s">
        <v>2226</v>
      </c>
      <c r="E1048" s="701" t="s">
        <v>8928</v>
      </c>
      <c r="F1048" s="566">
        <v>1</v>
      </c>
      <c r="G1048" s="662">
        <v>0</v>
      </c>
      <c r="H1048" s="662">
        <v>0</v>
      </c>
      <c r="I1048" s="662">
        <v>11816.52308162072</v>
      </c>
      <c r="J1048" s="662">
        <v>12066.189080012951</v>
      </c>
      <c r="K1048" s="566" t="s">
        <v>4028</v>
      </c>
      <c r="L1048" s="549"/>
      <c r="M1048" s="540"/>
      <c r="O1048" s="559"/>
      <c r="S1048" s="550"/>
      <c r="T1048" s="547"/>
      <c r="U1048" s="547"/>
      <c r="V1048" s="547"/>
      <c r="W1048" s="549"/>
    </row>
    <row r="1049" spans="1:23">
      <c r="A1049" s="565">
        <v>1743</v>
      </c>
      <c r="B1049" s="695" t="s">
        <v>6456</v>
      </c>
      <c r="C1049" s="566">
        <f t="shared" si="16"/>
        <v>1743</v>
      </c>
      <c r="D1049" s="699" t="s">
        <v>2226</v>
      </c>
      <c r="E1049" s="701" t="s">
        <v>8929</v>
      </c>
      <c r="F1049" s="567">
        <v>1</v>
      </c>
      <c r="G1049" s="662">
        <v>0</v>
      </c>
      <c r="H1049" s="662">
        <v>0</v>
      </c>
      <c r="I1049" s="662">
        <v>11868.534523628352</v>
      </c>
      <c r="J1049" s="662">
        <v>12119.574947565436</v>
      </c>
      <c r="K1049" s="568" t="s">
        <v>4031</v>
      </c>
      <c r="L1049" s="549"/>
      <c r="M1049" s="540"/>
      <c r="O1049" s="559"/>
      <c r="S1049" s="550"/>
      <c r="T1049" s="547"/>
      <c r="U1049" s="547"/>
      <c r="V1049" s="547"/>
      <c r="W1049" s="549"/>
    </row>
    <row r="1050" spans="1:23">
      <c r="A1050" s="565">
        <v>1744</v>
      </c>
      <c r="B1050" s="696" t="s">
        <v>6457</v>
      </c>
      <c r="C1050" s="566">
        <f t="shared" si="16"/>
        <v>1744</v>
      </c>
      <c r="D1050" s="700" t="s">
        <v>2226</v>
      </c>
      <c r="E1050" s="701" t="s">
        <v>8930</v>
      </c>
      <c r="F1050" s="566">
        <v>1</v>
      </c>
      <c r="G1050" s="662">
        <v>0</v>
      </c>
      <c r="H1050" s="662">
        <v>0</v>
      </c>
      <c r="I1050" s="662">
        <v>12625.589957295013</v>
      </c>
      <c r="J1050" s="662">
        <v>12896.447679785822</v>
      </c>
      <c r="K1050" s="566" t="s">
        <v>4032</v>
      </c>
      <c r="L1050" s="549"/>
      <c r="M1050" s="540"/>
      <c r="O1050" s="559"/>
      <c r="S1050" s="550"/>
      <c r="T1050" s="547"/>
      <c r="U1050" s="547"/>
      <c r="V1050" s="547"/>
      <c r="W1050" s="549"/>
    </row>
    <row r="1051" spans="1:23">
      <c r="A1051" s="565">
        <v>1745</v>
      </c>
      <c r="B1051" s="696" t="s">
        <v>6458</v>
      </c>
      <c r="C1051" s="566">
        <f t="shared" si="16"/>
        <v>1745</v>
      </c>
      <c r="D1051" s="700" t="s">
        <v>2226</v>
      </c>
      <c r="E1051" s="701" t="s">
        <v>8931</v>
      </c>
      <c r="F1051" s="566">
        <v>1</v>
      </c>
      <c r="G1051" s="662">
        <v>0</v>
      </c>
      <c r="H1051" s="662">
        <v>0</v>
      </c>
      <c r="I1051" s="662">
        <v>11643.151608261947</v>
      </c>
      <c r="J1051" s="662">
        <v>11888.278806017677</v>
      </c>
      <c r="K1051" s="566" t="s">
        <v>4033</v>
      </c>
      <c r="L1051" s="549"/>
      <c r="M1051" s="540"/>
      <c r="O1051" s="559"/>
      <c r="S1051" s="550"/>
      <c r="T1051" s="547"/>
      <c r="U1051" s="547"/>
      <c r="V1051" s="547"/>
      <c r="W1051" s="549"/>
    </row>
    <row r="1052" spans="1:23">
      <c r="A1052" s="565">
        <v>1746</v>
      </c>
      <c r="B1052" s="696" t="s">
        <v>6459</v>
      </c>
      <c r="C1052" s="566">
        <f t="shared" si="16"/>
        <v>1746</v>
      </c>
      <c r="D1052" s="700" t="s">
        <v>2226</v>
      </c>
      <c r="E1052" s="701" t="s">
        <v>8932</v>
      </c>
      <c r="F1052" s="566">
        <v>1</v>
      </c>
      <c r="G1052" s="662">
        <v>0</v>
      </c>
      <c r="H1052" s="662">
        <v>0</v>
      </c>
      <c r="I1052" s="662">
        <v>13902.759811037991</v>
      </c>
      <c r="J1052" s="662">
        <v>14207.0831973768</v>
      </c>
      <c r="K1052" s="566" t="s">
        <v>4034</v>
      </c>
      <c r="L1052" s="549"/>
      <c r="M1052" s="540"/>
      <c r="O1052" s="559"/>
      <c r="S1052" s="550"/>
      <c r="T1052" s="547"/>
      <c r="U1052" s="547"/>
      <c r="V1052" s="547"/>
      <c r="W1052" s="549"/>
    </row>
    <row r="1053" spans="1:23">
      <c r="A1053" s="565">
        <v>1747</v>
      </c>
      <c r="B1053" s="696" t="s">
        <v>6460</v>
      </c>
      <c r="C1053" s="566">
        <f t="shared" si="16"/>
        <v>1747</v>
      </c>
      <c r="D1053" s="700" t="s">
        <v>2226</v>
      </c>
      <c r="E1053" s="701" t="s">
        <v>8933</v>
      </c>
      <c r="F1053" s="566">
        <v>1</v>
      </c>
      <c r="G1053" s="662">
        <v>0</v>
      </c>
      <c r="H1053" s="662">
        <v>0</v>
      </c>
      <c r="I1053" s="662">
        <v>13093.692935363702</v>
      </c>
      <c r="J1053" s="662">
        <v>13376.824597603923</v>
      </c>
      <c r="K1053" s="566" t="s">
        <v>4035</v>
      </c>
      <c r="L1053" s="549"/>
      <c r="M1053" s="540"/>
      <c r="O1053" s="559"/>
      <c r="S1053" s="550"/>
      <c r="T1053" s="547"/>
      <c r="U1053" s="547"/>
      <c r="V1053" s="547"/>
      <c r="W1053" s="549"/>
    </row>
    <row r="1054" spans="1:23">
      <c r="A1054" s="565">
        <v>1748</v>
      </c>
      <c r="B1054" s="696" t="s">
        <v>6461</v>
      </c>
      <c r="C1054" s="566">
        <f t="shared" si="16"/>
        <v>1748</v>
      </c>
      <c r="D1054" s="700" t="s">
        <v>2226</v>
      </c>
      <c r="E1054" s="701" t="s">
        <v>8934</v>
      </c>
      <c r="F1054" s="566">
        <v>1</v>
      </c>
      <c r="G1054" s="662">
        <v>10558.572368332103</v>
      </c>
      <c r="H1054" s="662">
        <v>10792.288637727057</v>
      </c>
      <c r="I1054" s="662">
        <v>11038.31081025618</v>
      </c>
      <c r="J1054" s="662">
        <v>11297.278153614756</v>
      </c>
      <c r="K1054" s="566" t="s">
        <v>1864</v>
      </c>
      <c r="L1054" s="549"/>
      <c r="M1054" s="540"/>
      <c r="O1054" s="559"/>
      <c r="S1054" s="550"/>
      <c r="T1054" s="547"/>
      <c r="U1054" s="547"/>
      <c r="V1054" s="547"/>
      <c r="W1054" s="549"/>
    </row>
    <row r="1055" spans="1:23">
      <c r="A1055" s="565">
        <v>1749</v>
      </c>
      <c r="B1055" s="695" t="s">
        <v>6462</v>
      </c>
      <c r="C1055" s="566">
        <f t="shared" si="16"/>
        <v>1749</v>
      </c>
      <c r="D1055" s="699" t="s">
        <v>2226</v>
      </c>
      <c r="E1055" s="701" t="s">
        <v>8935</v>
      </c>
      <c r="F1055" s="567">
        <v>1</v>
      </c>
      <c r="G1055" s="662">
        <v>27799.225418024384</v>
      </c>
      <c r="H1055" s="662">
        <v>28422.246004307362</v>
      </c>
      <c r="I1055" s="662">
        <v>0</v>
      </c>
      <c r="J1055" s="662">
        <v>0</v>
      </c>
      <c r="K1055" s="568" t="s">
        <v>1865</v>
      </c>
      <c r="L1055" s="549"/>
      <c r="M1055" s="540"/>
      <c r="O1055" s="559"/>
      <c r="S1055" s="550"/>
      <c r="T1055" s="547"/>
      <c r="U1055" s="547"/>
      <c r="V1055" s="547"/>
      <c r="W1055" s="549"/>
    </row>
    <row r="1056" spans="1:23">
      <c r="A1056" s="565">
        <v>1750</v>
      </c>
      <c r="B1056" s="696" t="s">
        <v>6463</v>
      </c>
      <c r="C1056" s="566">
        <f t="shared" si="16"/>
        <v>1750</v>
      </c>
      <c r="D1056" s="700" t="s">
        <v>2226</v>
      </c>
      <c r="E1056" s="701" t="s">
        <v>8936</v>
      </c>
      <c r="F1056" s="566">
        <v>1</v>
      </c>
      <c r="G1056" s="662">
        <v>28087.492862782707</v>
      </c>
      <c r="H1056" s="662">
        <v>28733.40685319055</v>
      </c>
      <c r="I1056" s="662">
        <v>29379.320843598383</v>
      </c>
      <c r="J1056" s="662">
        <v>30059.229267568673</v>
      </c>
      <c r="K1056" s="566" t="s">
        <v>1866</v>
      </c>
      <c r="L1056" s="549"/>
      <c r="M1056" s="540"/>
      <c r="O1056" s="559"/>
      <c r="S1056" s="550"/>
      <c r="T1056" s="547"/>
      <c r="U1056" s="547"/>
      <c r="V1056" s="547"/>
      <c r="W1056" s="549"/>
    </row>
    <row r="1057" spans="1:23">
      <c r="A1057" s="565">
        <v>1751</v>
      </c>
      <c r="B1057" s="696" t="s">
        <v>6464</v>
      </c>
      <c r="C1057" s="566">
        <f t="shared" si="16"/>
        <v>1751</v>
      </c>
      <c r="D1057" s="700" t="s">
        <v>2226</v>
      </c>
      <c r="E1057" s="701" t="s">
        <v>8937</v>
      </c>
      <c r="F1057" s="566">
        <v>1</v>
      </c>
      <c r="G1057" s="662">
        <v>0</v>
      </c>
      <c r="H1057" s="662">
        <v>0</v>
      </c>
      <c r="I1057" s="662">
        <v>0</v>
      </c>
      <c r="J1057" s="662">
        <v>26375.121244575297</v>
      </c>
      <c r="K1057" s="566" t="s">
        <v>4769</v>
      </c>
      <c r="L1057" s="549"/>
      <c r="M1057" s="540"/>
      <c r="O1057" s="559"/>
      <c r="S1057" s="550"/>
      <c r="T1057" s="547"/>
      <c r="U1057" s="547"/>
      <c r="V1057" s="547"/>
      <c r="W1057" s="549"/>
    </row>
    <row r="1058" spans="1:23">
      <c r="A1058" s="565">
        <v>1752</v>
      </c>
      <c r="B1058" s="695" t="s">
        <v>6465</v>
      </c>
      <c r="C1058" s="566">
        <f t="shared" si="16"/>
        <v>1752</v>
      </c>
      <c r="D1058" s="699" t="s">
        <v>2226</v>
      </c>
      <c r="E1058" s="701" t="s">
        <v>8938</v>
      </c>
      <c r="F1058" s="567">
        <v>1</v>
      </c>
      <c r="G1058" s="662">
        <v>22146.932937682468</v>
      </c>
      <c r="H1058" s="662">
        <v>22633.463911358413</v>
      </c>
      <c r="I1058" s="662">
        <v>23094.374184946824</v>
      </c>
      <c r="J1058" s="662">
        <v>23579.558541621584</v>
      </c>
      <c r="K1058" s="568" t="s">
        <v>1867</v>
      </c>
      <c r="L1058" s="549"/>
      <c r="M1058" s="540"/>
      <c r="O1058" s="559"/>
      <c r="S1058" s="550"/>
      <c r="T1058" s="547"/>
      <c r="U1058" s="547"/>
      <c r="V1058" s="547"/>
      <c r="W1058" s="549"/>
    </row>
    <row r="1059" spans="1:23">
      <c r="A1059" s="565">
        <v>1753</v>
      </c>
      <c r="B1059" s="695" t="s">
        <v>6466</v>
      </c>
      <c r="C1059" s="566">
        <f t="shared" si="16"/>
        <v>1753</v>
      </c>
      <c r="D1059" s="699" t="s">
        <v>2226</v>
      </c>
      <c r="E1059" s="701" t="s">
        <v>8939</v>
      </c>
      <c r="F1059" s="567">
        <v>1</v>
      </c>
      <c r="G1059" s="662">
        <v>0</v>
      </c>
      <c r="H1059" s="662">
        <v>0</v>
      </c>
      <c r="I1059" s="662">
        <v>32398.689673826408</v>
      </c>
      <c r="J1059" s="662">
        <v>33629.442506878309</v>
      </c>
      <c r="K1059" s="568" t="s">
        <v>4036</v>
      </c>
      <c r="L1059" s="549"/>
      <c r="M1059" s="540"/>
      <c r="O1059" s="559"/>
      <c r="S1059" s="550"/>
      <c r="T1059" s="547"/>
      <c r="U1059" s="547"/>
      <c r="V1059" s="547"/>
      <c r="W1059" s="549"/>
    </row>
    <row r="1060" spans="1:23">
      <c r="A1060" s="565">
        <v>1754</v>
      </c>
      <c r="B1060" s="695" t="s">
        <v>6467</v>
      </c>
      <c r="C1060" s="566">
        <f t="shared" si="16"/>
        <v>1754</v>
      </c>
      <c r="D1060" s="699" t="s">
        <v>2226</v>
      </c>
      <c r="E1060" s="701" t="s">
        <v>8940</v>
      </c>
      <c r="F1060" s="567">
        <v>1</v>
      </c>
      <c r="G1060" s="662">
        <v>0</v>
      </c>
      <c r="H1060" s="662">
        <v>0</v>
      </c>
      <c r="I1060" s="662">
        <v>18373.258909580461</v>
      </c>
      <c r="J1060" s="662">
        <v>18737.667460927893</v>
      </c>
      <c r="K1060" s="568" t="s">
        <v>4037</v>
      </c>
      <c r="L1060" s="549"/>
      <c r="M1060" s="540"/>
      <c r="O1060" s="559"/>
      <c r="S1060" s="550"/>
      <c r="T1060" s="547"/>
      <c r="U1060" s="547"/>
      <c r="V1060" s="547"/>
      <c r="W1060" s="549"/>
    </row>
    <row r="1061" spans="1:23">
      <c r="A1061" s="565">
        <v>1755</v>
      </c>
      <c r="B1061" s="695" t="s">
        <v>6468</v>
      </c>
      <c r="C1061" s="566">
        <f t="shared" si="16"/>
        <v>1755</v>
      </c>
      <c r="D1061" s="699" t="s">
        <v>2226</v>
      </c>
      <c r="E1061" s="701" t="s">
        <v>8941</v>
      </c>
      <c r="F1061" s="567">
        <v>2</v>
      </c>
      <c r="G1061" s="662">
        <v>23635.323722379802</v>
      </c>
      <c r="H1061" s="662">
        <v>24530.694263137862</v>
      </c>
      <c r="I1061" s="662">
        <v>25473.152943733712</v>
      </c>
      <c r="J1061" s="662">
        <v>26465.251338247235</v>
      </c>
      <c r="K1061" s="568" t="s">
        <v>1868</v>
      </c>
      <c r="L1061" s="549"/>
      <c r="M1061" s="540"/>
      <c r="O1061" s="559"/>
      <c r="S1061" s="550"/>
      <c r="T1061" s="547"/>
      <c r="U1061" s="547"/>
      <c r="V1061" s="547"/>
      <c r="W1061" s="549"/>
    </row>
    <row r="1062" spans="1:23">
      <c r="A1062" s="565">
        <v>1756</v>
      </c>
      <c r="B1062" s="696" t="s">
        <v>6469</v>
      </c>
      <c r="C1062" s="566">
        <f t="shared" si="16"/>
        <v>1756</v>
      </c>
      <c r="D1062" s="700" t="s">
        <v>2226</v>
      </c>
      <c r="E1062" s="701" t="s">
        <v>8942</v>
      </c>
      <c r="F1062" s="566">
        <v>2</v>
      </c>
      <c r="G1062" s="662">
        <v>13119.279761570502</v>
      </c>
      <c r="H1062" s="662">
        <v>13396.010822282495</v>
      </c>
      <c r="I1062" s="662">
        <v>13687.305250955271</v>
      </c>
      <c r="J1062" s="662">
        <v>13993.920992389758</v>
      </c>
      <c r="K1062" s="566" t="s">
        <v>1869</v>
      </c>
      <c r="L1062" s="549"/>
      <c r="M1062" s="540"/>
      <c r="O1062" s="559"/>
      <c r="S1062" s="550"/>
      <c r="T1062" s="547"/>
      <c r="U1062" s="547"/>
      <c r="V1062" s="547"/>
      <c r="W1062" s="549"/>
    </row>
    <row r="1063" spans="1:23">
      <c r="A1063" s="565">
        <v>1757</v>
      </c>
      <c r="B1063" s="696" t="s">
        <v>6470</v>
      </c>
      <c r="C1063" s="566">
        <f t="shared" si="16"/>
        <v>1757</v>
      </c>
      <c r="D1063" s="700" t="s">
        <v>2226</v>
      </c>
      <c r="E1063" s="701" t="s">
        <v>8943</v>
      </c>
      <c r="F1063" s="566">
        <v>2</v>
      </c>
      <c r="G1063" s="662">
        <v>13119.279761570502</v>
      </c>
      <c r="H1063" s="662">
        <v>13396.010822282495</v>
      </c>
      <c r="I1063" s="662">
        <v>13687.305250955271</v>
      </c>
      <c r="J1063" s="662">
        <v>13993.920992389758</v>
      </c>
      <c r="K1063" s="566" t="s">
        <v>1870</v>
      </c>
      <c r="L1063" s="549"/>
      <c r="M1063" s="540"/>
      <c r="O1063" s="559"/>
      <c r="S1063" s="550"/>
      <c r="T1063" s="547"/>
      <c r="U1063" s="547"/>
      <c r="V1063" s="547"/>
      <c r="W1063" s="549"/>
    </row>
    <row r="1064" spans="1:23">
      <c r="A1064" s="565">
        <v>1758</v>
      </c>
      <c r="B1064" s="695" t="s">
        <v>6471</v>
      </c>
      <c r="C1064" s="566">
        <f t="shared" si="16"/>
        <v>1758</v>
      </c>
      <c r="D1064" s="699" t="s">
        <v>2226</v>
      </c>
      <c r="E1064" s="701" t="s">
        <v>8944</v>
      </c>
      <c r="F1064" s="567">
        <v>2</v>
      </c>
      <c r="G1064" s="662">
        <v>23635.323722379802</v>
      </c>
      <c r="H1064" s="662">
        <v>24530.694263137862</v>
      </c>
      <c r="I1064" s="662">
        <v>25473.152943733712</v>
      </c>
      <c r="J1064" s="662">
        <v>26465.251338247235</v>
      </c>
      <c r="K1064" s="568" t="s">
        <v>1871</v>
      </c>
      <c r="L1064" s="549"/>
      <c r="M1064" s="540"/>
      <c r="O1064" s="559"/>
      <c r="S1064" s="550"/>
      <c r="T1064" s="547"/>
      <c r="U1064" s="547"/>
      <c r="V1064" s="547"/>
      <c r="W1064" s="549"/>
    </row>
    <row r="1065" spans="1:23">
      <c r="A1065" s="565">
        <v>1759</v>
      </c>
      <c r="B1065" s="695" t="s">
        <v>6472</v>
      </c>
      <c r="C1065" s="566">
        <f t="shared" si="16"/>
        <v>1759</v>
      </c>
      <c r="D1065" s="699" t="s">
        <v>2226</v>
      </c>
      <c r="E1065" s="701" t="s">
        <v>8945</v>
      </c>
      <c r="F1065" s="567">
        <v>2</v>
      </c>
      <c r="G1065" s="662">
        <v>14091.237889337104</v>
      </c>
      <c r="H1065" s="662">
        <v>14375.385981315369</v>
      </c>
      <c r="I1065" s="662">
        <v>14674.47641365488</v>
      </c>
      <c r="J1065" s="662">
        <v>14989.321270070925</v>
      </c>
      <c r="K1065" s="568" t="s">
        <v>1872</v>
      </c>
      <c r="L1065" s="549"/>
      <c r="M1065" s="540"/>
      <c r="O1065" s="559"/>
      <c r="S1065" s="550"/>
      <c r="T1065" s="547"/>
      <c r="U1065" s="547"/>
      <c r="V1065" s="547"/>
      <c r="W1065" s="549"/>
    </row>
    <row r="1066" spans="1:23">
      <c r="A1066" s="565">
        <v>1760</v>
      </c>
      <c r="B1066" s="695" t="s">
        <v>6473</v>
      </c>
      <c r="C1066" s="566">
        <f t="shared" si="16"/>
        <v>1760</v>
      </c>
      <c r="D1066" s="699" t="s">
        <v>2226</v>
      </c>
      <c r="E1066" s="701" t="s">
        <v>8946</v>
      </c>
      <c r="F1066" s="567">
        <v>2</v>
      </c>
      <c r="G1066" s="662">
        <v>13119.279761570502</v>
      </c>
      <c r="H1066" s="662">
        <v>13396.010822282495</v>
      </c>
      <c r="I1066" s="662">
        <v>13687.305250955271</v>
      </c>
      <c r="J1066" s="662">
        <v>13993.920992389758</v>
      </c>
      <c r="K1066" s="568" t="s">
        <v>1873</v>
      </c>
      <c r="L1066" s="549"/>
      <c r="M1066" s="540"/>
      <c r="O1066" s="559"/>
      <c r="S1066" s="550"/>
      <c r="T1066" s="547"/>
      <c r="U1066" s="547"/>
      <c r="V1066" s="547"/>
      <c r="W1066" s="549"/>
    </row>
    <row r="1067" spans="1:23">
      <c r="A1067" s="565">
        <v>1761</v>
      </c>
      <c r="B1067" s="695" t="s">
        <v>6474</v>
      </c>
      <c r="C1067" s="566">
        <f t="shared" si="16"/>
        <v>1761</v>
      </c>
      <c r="D1067" s="699" t="s">
        <v>2226</v>
      </c>
      <c r="E1067" s="701" t="s">
        <v>8947</v>
      </c>
      <c r="F1067" s="567">
        <v>2</v>
      </c>
      <c r="G1067" s="662">
        <v>13119.279761570502</v>
      </c>
      <c r="H1067" s="662">
        <v>13396.010822282495</v>
      </c>
      <c r="I1067" s="662">
        <v>13687.305250955271</v>
      </c>
      <c r="J1067" s="662">
        <v>13993.920992389758</v>
      </c>
      <c r="K1067" s="568" t="s">
        <v>1874</v>
      </c>
      <c r="L1067" s="549"/>
      <c r="M1067" s="540"/>
      <c r="O1067" s="559"/>
      <c r="S1067" s="550"/>
      <c r="T1067" s="547"/>
      <c r="U1067" s="547"/>
      <c r="V1067" s="547"/>
      <c r="W1067" s="549"/>
    </row>
    <row r="1068" spans="1:23">
      <c r="A1068" s="565">
        <v>1762</v>
      </c>
      <c r="B1068" s="695" t="s">
        <v>6475</v>
      </c>
      <c r="C1068" s="566">
        <f t="shared" si="16"/>
        <v>1762</v>
      </c>
      <c r="D1068" s="699" t="s">
        <v>2226</v>
      </c>
      <c r="E1068" s="701" t="s">
        <v>8948</v>
      </c>
      <c r="F1068" s="567">
        <v>2</v>
      </c>
      <c r="G1068" s="662">
        <v>14863.355848048341</v>
      </c>
      <c r="H1068" s="662">
        <v>15191.085766080239</v>
      </c>
      <c r="I1068" s="662">
        <v>15536.058928333361</v>
      </c>
      <c r="J1068" s="662">
        <v>0</v>
      </c>
      <c r="K1068" s="568" t="s">
        <v>1875</v>
      </c>
      <c r="L1068" s="549"/>
      <c r="M1068" s="540"/>
      <c r="O1068" s="559"/>
      <c r="S1068" s="550"/>
      <c r="T1068" s="547"/>
      <c r="U1068" s="547"/>
      <c r="V1068" s="547"/>
      <c r="W1068" s="549"/>
    </row>
    <row r="1069" spans="1:23">
      <c r="A1069" s="565">
        <v>1763</v>
      </c>
      <c r="B1069" s="696" t="s">
        <v>6476</v>
      </c>
      <c r="C1069" s="566">
        <f t="shared" si="16"/>
        <v>1763</v>
      </c>
      <c r="D1069" s="700" t="s">
        <v>2226</v>
      </c>
      <c r="E1069" s="701" t="s">
        <v>8949</v>
      </c>
      <c r="F1069" s="566">
        <v>2</v>
      </c>
      <c r="G1069" s="662">
        <v>13119.279761570502</v>
      </c>
      <c r="H1069" s="662">
        <v>13396.010822282495</v>
      </c>
      <c r="I1069" s="662">
        <v>13687.305250955271</v>
      </c>
      <c r="J1069" s="662">
        <v>13993.920992389758</v>
      </c>
      <c r="K1069" s="566" t="s">
        <v>1876</v>
      </c>
      <c r="L1069" s="549"/>
      <c r="M1069" s="540"/>
      <c r="O1069" s="559"/>
      <c r="S1069" s="550"/>
      <c r="T1069" s="547"/>
      <c r="U1069" s="547"/>
      <c r="V1069" s="547"/>
      <c r="W1069" s="549"/>
    </row>
    <row r="1070" spans="1:23">
      <c r="A1070" s="565">
        <v>1764</v>
      </c>
      <c r="B1070" s="696" t="s">
        <v>6477</v>
      </c>
      <c r="C1070" s="566">
        <f t="shared" si="16"/>
        <v>1764</v>
      </c>
      <c r="D1070" s="700" t="s">
        <v>2226</v>
      </c>
      <c r="E1070" s="701" t="s">
        <v>8950</v>
      </c>
      <c r="F1070" s="566">
        <v>2</v>
      </c>
      <c r="G1070" s="662">
        <v>15933.791240668545</v>
      </c>
      <c r="H1070" s="662">
        <v>16292.813451196096</v>
      </c>
      <c r="I1070" s="662">
        <v>16670.730142832614</v>
      </c>
      <c r="J1070" s="662">
        <v>17068.542885493622</v>
      </c>
      <c r="K1070" s="566" t="s">
        <v>1877</v>
      </c>
      <c r="L1070" s="549"/>
      <c r="M1070" s="540"/>
      <c r="O1070" s="559"/>
      <c r="S1070" s="550"/>
      <c r="T1070" s="547"/>
      <c r="U1070" s="547"/>
      <c r="V1070" s="547"/>
      <c r="W1070" s="549"/>
    </row>
    <row r="1071" spans="1:23">
      <c r="A1071" s="565">
        <v>1765</v>
      </c>
      <c r="B1071" s="696" t="s">
        <v>6478</v>
      </c>
      <c r="C1071" s="566">
        <f t="shared" si="16"/>
        <v>1765</v>
      </c>
      <c r="D1071" s="700" t="s">
        <v>2226</v>
      </c>
      <c r="E1071" s="701" t="s">
        <v>8951</v>
      </c>
      <c r="F1071" s="566">
        <v>2</v>
      </c>
      <c r="G1071" s="662">
        <v>14189.688084733525</v>
      </c>
      <c r="H1071" s="662">
        <v>14497.711437941176</v>
      </c>
      <c r="I1071" s="662">
        <v>14821.922326540172</v>
      </c>
      <c r="J1071" s="662">
        <v>15163.214042617332</v>
      </c>
      <c r="K1071" s="566" t="s">
        <v>1878</v>
      </c>
      <c r="L1071" s="549"/>
      <c r="M1071" s="540"/>
      <c r="O1071" s="559"/>
      <c r="S1071" s="550"/>
      <c r="T1071" s="547"/>
      <c r="U1071" s="547"/>
      <c r="V1071" s="547"/>
      <c r="W1071" s="549"/>
    </row>
    <row r="1072" spans="1:23">
      <c r="A1072" s="565">
        <v>1766</v>
      </c>
      <c r="B1072" s="696" t="s">
        <v>6479</v>
      </c>
      <c r="C1072" s="566">
        <f t="shared" si="16"/>
        <v>1766</v>
      </c>
      <c r="D1072" s="700" t="s">
        <v>2226</v>
      </c>
      <c r="E1072" s="701" t="s">
        <v>8952</v>
      </c>
      <c r="F1072" s="566">
        <v>2</v>
      </c>
      <c r="G1072" s="662">
        <v>15541.187008237373</v>
      </c>
      <c r="H1072" s="662">
        <v>15864.802368778499</v>
      </c>
      <c r="I1072" s="662">
        <v>16205.444417883433</v>
      </c>
      <c r="J1072" s="662">
        <v>16564.033517096166</v>
      </c>
      <c r="K1072" s="566" t="s">
        <v>1879</v>
      </c>
      <c r="L1072" s="549"/>
      <c r="M1072" s="540"/>
      <c r="O1072" s="559"/>
      <c r="S1072" s="550"/>
      <c r="T1072" s="547"/>
      <c r="U1072" s="547"/>
      <c r="V1072" s="547"/>
      <c r="W1072" s="549"/>
    </row>
    <row r="1073" spans="1:23">
      <c r="A1073" s="565">
        <v>1767</v>
      </c>
      <c r="B1073" s="696" t="s">
        <v>6480</v>
      </c>
      <c r="C1073" s="566">
        <f t="shared" si="16"/>
        <v>1767</v>
      </c>
      <c r="D1073" s="700" t="s">
        <v>2226</v>
      </c>
      <c r="E1073" s="701" t="s">
        <v>8953</v>
      </c>
      <c r="F1073" s="566">
        <v>2</v>
      </c>
      <c r="G1073" s="662">
        <v>20027.162261173227</v>
      </c>
      <c r="H1073" s="662">
        <v>20505.885611333812</v>
      </c>
      <c r="I1073" s="662">
        <v>21009.810626125411</v>
      </c>
      <c r="J1073" s="662">
        <v>21540.236639492476</v>
      </c>
      <c r="K1073" s="566" t="s">
        <v>1880</v>
      </c>
      <c r="L1073" s="549"/>
      <c r="M1073" s="540"/>
      <c r="O1073" s="559"/>
      <c r="S1073" s="550"/>
      <c r="T1073" s="547"/>
      <c r="U1073" s="547"/>
      <c r="V1073" s="547"/>
      <c r="W1073" s="549"/>
    </row>
    <row r="1074" spans="1:23">
      <c r="A1074" s="565">
        <v>1768</v>
      </c>
      <c r="B1074" s="696" t="s">
        <v>6481</v>
      </c>
      <c r="C1074" s="566">
        <f t="shared" si="16"/>
        <v>1768</v>
      </c>
      <c r="D1074" s="700" t="s">
        <v>2226</v>
      </c>
      <c r="E1074" s="701" t="s">
        <v>8954</v>
      </c>
      <c r="F1074" s="566">
        <v>2</v>
      </c>
      <c r="G1074" s="662">
        <v>17729.471466622861</v>
      </c>
      <c r="H1074" s="662">
        <v>18146.178690392837</v>
      </c>
      <c r="I1074" s="662">
        <v>18584.812174475512</v>
      </c>
      <c r="J1074" s="662">
        <v>19046.535905529454</v>
      </c>
      <c r="K1074" s="566" t="s">
        <v>1881</v>
      </c>
      <c r="L1074" s="549"/>
      <c r="M1074" s="540"/>
      <c r="O1074" s="559"/>
      <c r="S1074" s="550"/>
      <c r="T1074" s="547"/>
      <c r="U1074" s="547"/>
      <c r="V1074" s="547"/>
      <c r="W1074" s="549"/>
    </row>
    <row r="1075" spans="1:23">
      <c r="A1075" s="565">
        <v>1769</v>
      </c>
      <c r="B1075" s="696" t="s">
        <v>6482</v>
      </c>
      <c r="C1075" s="566">
        <f t="shared" si="16"/>
        <v>1769</v>
      </c>
      <c r="D1075" s="700" t="s">
        <v>2226</v>
      </c>
      <c r="E1075" s="701" t="s">
        <v>8955</v>
      </c>
      <c r="F1075" s="566">
        <v>2</v>
      </c>
      <c r="G1075" s="662">
        <v>17191.869997109163</v>
      </c>
      <c r="H1075" s="662">
        <v>17594.988353376695</v>
      </c>
      <c r="I1075" s="662">
        <v>18019.329164070354</v>
      </c>
      <c r="J1075" s="662">
        <v>18466.002276934345</v>
      </c>
      <c r="K1075" s="566" t="s">
        <v>1882</v>
      </c>
      <c r="L1075" s="549"/>
      <c r="M1075" s="540"/>
      <c r="O1075" s="559"/>
      <c r="S1075" s="550"/>
      <c r="T1075" s="547"/>
      <c r="U1075" s="547"/>
      <c r="V1075" s="547"/>
      <c r="W1075" s="549"/>
    </row>
    <row r="1076" spans="1:23">
      <c r="A1076" s="565">
        <v>1770</v>
      </c>
      <c r="B1076" s="696" t="s">
        <v>6483</v>
      </c>
      <c r="C1076" s="566">
        <f t="shared" si="16"/>
        <v>1770</v>
      </c>
      <c r="D1076" s="700" t="s">
        <v>2226</v>
      </c>
      <c r="E1076" s="701" t="s">
        <v>8956</v>
      </c>
      <c r="F1076" s="566">
        <v>2</v>
      </c>
      <c r="G1076" s="662">
        <v>19143.228354034734</v>
      </c>
      <c r="H1076" s="662">
        <v>19585.759839950773</v>
      </c>
      <c r="I1076" s="662">
        <v>20051.571059038324</v>
      </c>
      <c r="J1076" s="662">
        <v>20541.907206327483</v>
      </c>
      <c r="K1076" s="566" t="s">
        <v>1883</v>
      </c>
      <c r="L1076" s="549"/>
      <c r="M1076" s="540"/>
      <c r="O1076" s="559"/>
      <c r="S1076" s="550"/>
      <c r="T1076" s="547"/>
      <c r="U1076" s="547"/>
      <c r="V1076" s="547"/>
      <c r="W1076" s="549"/>
    </row>
    <row r="1077" spans="1:23">
      <c r="A1077" s="565">
        <v>1771</v>
      </c>
      <c r="B1077" s="696" t="s">
        <v>6484</v>
      </c>
      <c r="C1077" s="566">
        <f t="shared" si="16"/>
        <v>1771</v>
      </c>
      <c r="D1077" s="700" t="s">
        <v>2226</v>
      </c>
      <c r="E1077" s="701" t="s">
        <v>8957</v>
      </c>
      <c r="F1077" s="566">
        <v>2</v>
      </c>
      <c r="G1077" s="662">
        <v>19585.759839950773</v>
      </c>
      <c r="H1077" s="662">
        <v>20051.571059038324</v>
      </c>
      <c r="I1077" s="662">
        <v>20541.907206327483</v>
      </c>
      <c r="J1077" s="662">
        <v>21058.040546305532</v>
      </c>
      <c r="K1077" s="566" t="s">
        <v>1884</v>
      </c>
      <c r="L1077" s="549"/>
      <c r="M1077" s="540"/>
      <c r="O1077" s="559"/>
      <c r="S1077" s="550"/>
      <c r="T1077" s="547"/>
      <c r="U1077" s="547"/>
      <c r="V1077" s="547"/>
      <c r="W1077" s="549"/>
    </row>
    <row r="1078" spans="1:23">
      <c r="A1078" s="565">
        <v>1772</v>
      </c>
      <c r="B1078" s="696" t="s">
        <v>6485</v>
      </c>
      <c r="C1078" s="566">
        <f t="shared" si="16"/>
        <v>1772</v>
      </c>
      <c r="D1078" s="700" t="s">
        <v>2226</v>
      </c>
      <c r="E1078" s="701" t="s">
        <v>8958</v>
      </c>
      <c r="F1078" s="566">
        <v>2</v>
      </c>
      <c r="G1078" s="662">
        <v>21285.805787026486</v>
      </c>
      <c r="H1078" s="662">
        <v>21801.34359894666</v>
      </c>
      <c r="I1078" s="662">
        <v>22343.977937500178</v>
      </c>
      <c r="J1078" s="662">
        <v>22915.197622831736</v>
      </c>
      <c r="K1078" s="566" t="s">
        <v>1885</v>
      </c>
      <c r="L1078" s="549"/>
      <c r="M1078" s="540"/>
      <c r="O1078" s="559"/>
      <c r="S1078" s="550"/>
      <c r="T1078" s="547"/>
      <c r="U1078" s="547"/>
      <c r="V1078" s="547"/>
      <c r="W1078" s="549"/>
    </row>
    <row r="1079" spans="1:23">
      <c r="A1079" s="565">
        <v>1773</v>
      </c>
      <c r="B1079" s="696" t="s">
        <v>6486</v>
      </c>
      <c r="C1079" s="566">
        <f t="shared" si="16"/>
        <v>1773</v>
      </c>
      <c r="D1079" s="700" t="s">
        <v>2226</v>
      </c>
      <c r="E1079" s="701" t="s">
        <v>8959</v>
      </c>
      <c r="F1079" s="566">
        <v>2</v>
      </c>
      <c r="G1079" s="662">
        <v>15126.894053953085</v>
      </c>
      <c r="H1079" s="662">
        <v>15469.945284746698</v>
      </c>
      <c r="I1079" s="662">
        <v>16115.984949713198</v>
      </c>
      <c r="J1079" s="662">
        <v>16511.090746656584</v>
      </c>
      <c r="K1079" s="566" t="s">
        <v>1886</v>
      </c>
      <c r="L1079" s="549"/>
      <c r="M1079" s="540"/>
      <c r="O1079" s="559"/>
      <c r="S1079" s="550"/>
      <c r="T1079" s="547"/>
      <c r="U1079" s="547"/>
      <c r="V1079" s="547"/>
      <c r="W1079" s="549"/>
    </row>
    <row r="1080" spans="1:23">
      <c r="A1080" s="565">
        <v>1774</v>
      </c>
      <c r="B1080" s="696" t="s">
        <v>6487</v>
      </c>
      <c r="C1080" s="566">
        <f t="shared" si="16"/>
        <v>1774</v>
      </c>
      <c r="D1080" s="700" t="s">
        <v>2226</v>
      </c>
      <c r="E1080" s="701" t="s">
        <v>8960</v>
      </c>
      <c r="F1080" s="566">
        <v>2</v>
      </c>
      <c r="G1080" s="662">
        <v>21055.000578313673</v>
      </c>
      <c r="H1080" s="662">
        <v>21561.334774793952</v>
      </c>
      <c r="I1080" s="662">
        <v>22094.332386592756</v>
      </c>
      <c r="J1080" s="662">
        <v>22655.373956026073</v>
      </c>
      <c r="K1080" s="566" t="s">
        <v>1887</v>
      </c>
      <c r="L1080" s="549"/>
      <c r="M1080" s="540"/>
      <c r="O1080" s="559"/>
      <c r="S1080" s="550"/>
      <c r="T1080" s="547"/>
      <c r="U1080" s="547"/>
      <c r="V1080" s="547"/>
      <c r="W1080" s="549"/>
    </row>
    <row r="1081" spans="1:23">
      <c r="A1081" s="565">
        <v>1775</v>
      </c>
      <c r="B1081" s="696" t="s">
        <v>6488</v>
      </c>
      <c r="C1081" s="566">
        <f t="shared" si="16"/>
        <v>1775</v>
      </c>
      <c r="D1081" s="700" t="s">
        <v>2226</v>
      </c>
      <c r="E1081" s="701" t="s">
        <v>8961</v>
      </c>
      <c r="F1081" s="566">
        <v>2</v>
      </c>
      <c r="G1081" s="662">
        <v>22313.725312538456</v>
      </c>
      <c r="H1081" s="662">
        <v>22856.873970778328</v>
      </c>
      <c r="I1081" s="662">
        <v>23428.607975796229</v>
      </c>
      <c r="J1081" s="662">
        <v>24030.443217194039</v>
      </c>
      <c r="K1081" s="566" t="s">
        <v>1888</v>
      </c>
      <c r="L1081" s="549"/>
      <c r="M1081" s="540"/>
      <c r="O1081" s="559"/>
      <c r="S1081" s="550"/>
      <c r="T1081" s="547"/>
      <c r="U1081" s="547"/>
      <c r="V1081" s="547"/>
      <c r="W1081" s="549"/>
    </row>
    <row r="1082" spans="1:23">
      <c r="A1082" s="565">
        <v>1776</v>
      </c>
      <c r="B1082" s="696" t="s">
        <v>6489</v>
      </c>
      <c r="C1082" s="566">
        <f t="shared" si="16"/>
        <v>1776</v>
      </c>
      <c r="D1082" s="700" t="s">
        <v>2226</v>
      </c>
      <c r="E1082" s="701" t="s">
        <v>8962</v>
      </c>
      <c r="F1082" s="566">
        <v>2</v>
      </c>
      <c r="G1082" s="662">
        <v>23824.877265494644</v>
      </c>
      <c r="H1082" s="662">
        <v>24412.203277846027</v>
      </c>
      <c r="I1082" s="662">
        <v>25030.44261029259</v>
      </c>
      <c r="J1082" s="662">
        <v>25681.219430264911</v>
      </c>
      <c r="K1082" s="566" t="s">
        <v>1889</v>
      </c>
      <c r="L1082" s="549"/>
      <c r="M1082" s="540"/>
      <c r="O1082" s="559"/>
      <c r="S1082" s="550"/>
      <c r="T1082" s="547"/>
      <c r="U1082" s="547"/>
      <c r="V1082" s="547"/>
      <c r="W1082" s="549"/>
    </row>
    <row r="1083" spans="1:23">
      <c r="A1083" s="565">
        <v>1777</v>
      </c>
      <c r="B1083" s="696" t="s">
        <v>6490</v>
      </c>
      <c r="C1083" s="566">
        <f t="shared" si="16"/>
        <v>1777</v>
      </c>
      <c r="D1083" s="700" t="s">
        <v>2226</v>
      </c>
      <c r="E1083" s="701" t="s">
        <v>8963</v>
      </c>
      <c r="F1083" s="566">
        <v>2</v>
      </c>
      <c r="G1083" s="662">
        <v>15555.94911351514</v>
      </c>
      <c r="H1083" s="662">
        <v>15903.926985514823</v>
      </c>
      <c r="I1083" s="662">
        <v>16270.203810565588</v>
      </c>
      <c r="J1083" s="662">
        <v>16655.781158582966</v>
      </c>
      <c r="K1083" s="566" t="s">
        <v>1890</v>
      </c>
      <c r="L1083" s="549"/>
      <c r="M1083" s="540"/>
      <c r="O1083" s="559"/>
      <c r="S1083" s="550"/>
      <c r="T1083" s="547"/>
      <c r="U1083" s="547"/>
      <c r="V1083" s="547"/>
      <c r="W1083" s="549"/>
    </row>
    <row r="1084" spans="1:23">
      <c r="A1084" s="565">
        <v>1778</v>
      </c>
      <c r="B1084" s="696" t="s">
        <v>6491</v>
      </c>
      <c r="C1084" s="566">
        <f t="shared" si="16"/>
        <v>1778</v>
      </c>
      <c r="D1084" s="700" t="s">
        <v>2226</v>
      </c>
      <c r="E1084" s="701" t="s">
        <v>8964</v>
      </c>
      <c r="F1084" s="566">
        <v>2</v>
      </c>
      <c r="G1084" s="662">
        <v>15191.085766080239</v>
      </c>
      <c r="H1084" s="662">
        <v>15536.058928333361</v>
      </c>
      <c r="I1084" s="662">
        <v>15899.195696351699</v>
      </c>
      <c r="J1084" s="662">
        <v>16281.443501136404</v>
      </c>
      <c r="K1084" s="566" t="s">
        <v>1891</v>
      </c>
      <c r="L1084" s="549"/>
      <c r="M1084" s="540"/>
      <c r="O1084" s="559"/>
      <c r="S1084" s="550"/>
      <c r="T1084" s="547"/>
      <c r="U1084" s="547"/>
      <c r="V1084" s="547"/>
      <c r="W1084" s="549"/>
    </row>
    <row r="1085" spans="1:23">
      <c r="A1085" s="565">
        <v>1779</v>
      </c>
      <c r="B1085" s="696" t="s">
        <v>6492</v>
      </c>
      <c r="C1085" s="566">
        <f t="shared" si="16"/>
        <v>1779</v>
      </c>
      <c r="D1085" s="700" t="s">
        <v>2226</v>
      </c>
      <c r="E1085" s="701" t="s">
        <v>8965</v>
      </c>
      <c r="F1085" s="566">
        <v>2</v>
      </c>
      <c r="G1085" s="662">
        <v>15871.46732108654</v>
      </c>
      <c r="H1085" s="662">
        <v>16228.675877983291</v>
      </c>
      <c r="I1085" s="662">
        <v>16604.670638160307</v>
      </c>
      <c r="J1085" s="662">
        <v>17000.4531715331</v>
      </c>
      <c r="K1085" s="566" t="s">
        <v>1892</v>
      </c>
      <c r="L1085" s="549"/>
      <c r="M1085" s="540"/>
      <c r="O1085" s="559"/>
      <c r="S1085" s="550"/>
      <c r="T1085" s="547"/>
      <c r="U1085" s="547"/>
      <c r="V1085" s="547"/>
      <c r="W1085" s="549"/>
    </row>
    <row r="1086" spans="1:23">
      <c r="A1086" s="565">
        <v>1780</v>
      </c>
      <c r="B1086" s="696" t="s">
        <v>6493</v>
      </c>
      <c r="C1086" s="566">
        <f t="shared" si="16"/>
        <v>1780</v>
      </c>
      <c r="D1086" s="700" t="s">
        <v>2226</v>
      </c>
      <c r="E1086" s="701" t="s">
        <v>8966</v>
      </c>
      <c r="F1086" s="566">
        <v>2</v>
      </c>
      <c r="G1086" s="662">
        <v>15450.930016077911</v>
      </c>
      <c r="H1086" s="662">
        <v>15803.672112540597</v>
      </c>
      <c r="I1086" s="662">
        <v>16174.983856626135</v>
      </c>
      <c r="J1086" s="662">
        <v>16565.839748792863</v>
      </c>
      <c r="K1086" s="566" t="s">
        <v>1893</v>
      </c>
      <c r="L1086" s="549"/>
      <c r="M1086" s="540"/>
      <c r="O1086" s="559"/>
      <c r="S1086" s="550"/>
      <c r="T1086" s="547"/>
      <c r="U1086" s="547"/>
      <c r="V1086" s="547"/>
      <c r="W1086" s="549"/>
    </row>
    <row r="1087" spans="1:23">
      <c r="A1087" s="565">
        <v>1781</v>
      </c>
      <c r="B1087" s="696" t="s">
        <v>6494</v>
      </c>
      <c r="C1087" s="566">
        <f t="shared" si="16"/>
        <v>1781</v>
      </c>
      <c r="D1087" s="700" t="s">
        <v>2226</v>
      </c>
      <c r="E1087" s="701" t="s">
        <v>8967</v>
      </c>
      <c r="F1087" s="566">
        <v>2</v>
      </c>
      <c r="G1087" s="662">
        <v>28850.507270561084</v>
      </c>
      <c r="H1087" s="662">
        <v>29962.819598428974</v>
      </c>
      <c r="I1087" s="662">
        <v>31133.644159174135</v>
      </c>
      <c r="J1087" s="662">
        <v>32366.112430076399</v>
      </c>
      <c r="K1087" s="566" t="s">
        <v>1894</v>
      </c>
      <c r="L1087" s="549"/>
      <c r="M1087" s="540"/>
      <c r="O1087" s="559"/>
      <c r="S1087" s="550"/>
      <c r="T1087" s="547"/>
      <c r="U1087" s="547"/>
      <c r="V1087" s="547"/>
      <c r="W1087" s="549"/>
    </row>
    <row r="1088" spans="1:23">
      <c r="A1088" s="565">
        <v>1782</v>
      </c>
      <c r="B1088" s="696" t="s">
        <v>6495</v>
      </c>
      <c r="C1088" s="566">
        <f t="shared" si="16"/>
        <v>1782</v>
      </c>
      <c r="D1088" s="700" t="s">
        <v>2226</v>
      </c>
      <c r="E1088" s="701" t="s">
        <v>8968</v>
      </c>
      <c r="F1088" s="566">
        <v>2</v>
      </c>
      <c r="G1088" s="662">
        <v>21193.698022177974</v>
      </c>
      <c r="H1088" s="662">
        <v>21962.881626621944</v>
      </c>
      <c r="I1088" s="662">
        <v>22772.542474424008</v>
      </c>
      <c r="J1088" s="662">
        <v>23624.826207424088</v>
      </c>
      <c r="K1088" s="566" t="s">
        <v>1895</v>
      </c>
      <c r="L1088" s="549"/>
      <c r="M1088" s="540"/>
      <c r="O1088" s="559"/>
      <c r="S1088" s="550"/>
      <c r="T1088" s="547"/>
      <c r="U1088" s="547"/>
      <c r="V1088" s="547"/>
      <c r="W1088" s="549"/>
    </row>
    <row r="1089" spans="1:23">
      <c r="A1089" s="565">
        <v>1783</v>
      </c>
      <c r="B1089" s="696" t="s">
        <v>6496</v>
      </c>
      <c r="C1089" s="566">
        <f t="shared" si="16"/>
        <v>1783</v>
      </c>
      <c r="D1089" s="700" t="s">
        <v>2226</v>
      </c>
      <c r="E1089" s="701" t="s">
        <v>8969</v>
      </c>
      <c r="F1089" s="566">
        <v>2</v>
      </c>
      <c r="G1089" s="662">
        <v>24010.291721115325</v>
      </c>
      <c r="H1089" s="662">
        <v>24905.662261873382</v>
      </c>
      <c r="I1089" s="662">
        <v>25848.178932789237</v>
      </c>
      <c r="J1089" s="662">
        <v>26840.277327302756</v>
      </c>
      <c r="K1089" s="566" t="s">
        <v>1896</v>
      </c>
      <c r="L1089" s="549"/>
      <c r="M1089" s="540"/>
      <c r="O1089" s="559"/>
      <c r="S1089" s="550"/>
      <c r="T1089" s="547"/>
      <c r="U1089" s="547"/>
      <c r="V1089" s="547"/>
      <c r="W1089" s="549"/>
    </row>
    <row r="1090" spans="1:23">
      <c r="A1090" s="565">
        <v>1784</v>
      </c>
      <c r="B1090" s="696" t="s">
        <v>6497</v>
      </c>
      <c r="C1090" s="566">
        <f t="shared" si="16"/>
        <v>1784</v>
      </c>
      <c r="D1090" s="700" t="s">
        <v>2226</v>
      </c>
      <c r="E1090" s="701" t="s">
        <v>8970</v>
      </c>
      <c r="F1090" s="566">
        <v>2</v>
      </c>
      <c r="G1090" s="662">
        <v>24287.671772635276</v>
      </c>
      <c r="H1090" s="662">
        <v>25131.430928595757</v>
      </c>
      <c r="I1090" s="662">
        <v>26019.494689034156</v>
      </c>
      <c r="J1090" s="662">
        <v>27006.315964427929</v>
      </c>
      <c r="K1090" s="566" t="s">
        <v>3111</v>
      </c>
      <c r="L1090" s="549"/>
      <c r="M1090" s="540"/>
      <c r="O1090" s="559"/>
      <c r="S1090" s="550"/>
      <c r="T1090" s="547"/>
      <c r="U1090" s="547"/>
      <c r="V1090" s="547"/>
      <c r="W1090" s="549"/>
    </row>
    <row r="1091" spans="1:23">
      <c r="A1091" s="565">
        <v>1785</v>
      </c>
      <c r="B1091" s="696" t="s">
        <v>6498</v>
      </c>
      <c r="C1091" s="566">
        <f t="shared" si="16"/>
        <v>1785</v>
      </c>
      <c r="D1091" s="700" t="s">
        <v>2226</v>
      </c>
      <c r="E1091" s="701" t="s">
        <v>8971</v>
      </c>
      <c r="F1091" s="566">
        <v>2</v>
      </c>
      <c r="G1091" s="662">
        <v>0</v>
      </c>
      <c r="H1091" s="662">
        <v>29142.038176623377</v>
      </c>
      <c r="I1091" s="662">
        <v>30210.219870973342</v>
      </c>
      <c r="J1091" s="662">
        <v>31334.594185400671</v>
      </c>
      <c r="K1091" s="566" t="s">
        <v>3112</v>
      </c>
      <c r="L1091" s="549"/>
      <c r="M1091" s="540"/>
      <c r="O1091" s="559"/>
      <c r="S1091" s="550"/>
      <c r="T1091" s="547"/>
      <c r="U1091" s="547"/>
      <c r="V1091" s="547"/>
      <c r="W1091" s="549"/>
    </row>
    <row r="1092" spans="1:23">
      <c r="A1092" s="565">
        <v>1786</v>
      </c>
      <c r="B1092" s="696" t="s">
        <v>6499</v>
      </c>
      <c r="C1092" s="566">
        <f t="shared" si="16"/>
        <v>1786</v>
      </c>
      <c r="D1092" s="700" t="s">
        <v>2226</v>
      </c>
      <c r="E1092" s="701" t="s">
        <v>8972</v>
      </c>
      <c r="F1092" s="566">
        <v>2</v>
      </c>
      <c r="G1092" s="662">
        <v>28859.13188440969</v>
      </c>
      <c r="H1092" s="662">
        <v>29980.14276027718</v>
      </c>
      <c r="I1092" s="662">
        <v>31160.129791581909</v>
      </c>
      <c r="J1092" s="662">
        <v>32402.224455603715</v>
      </c>
      <c r="K1092" s="566" t="s">
        <v>1897</v>
      </c>
      <c r="L1092" s="549"/>
      <c r="M1092" s="540"/>
      <c r="O1092" s="559"/>
      <c r="S1092" s="550"/>
      <c r="T1092" s="547"/>
      <c r="U1092" s="547"/>
      <c r="V1092" s="547"/>
      <c r="W1092" s="549"/>
    </row>
    <row r="1093" spans="1:23">
      <c r="A1093" s="565">
        <v>1787</v>
      </c>
      <c r="B1093" s="696" t="s">
        <v>6500</v>
      </c>
      <c r="C1093" s="566">
        <f t="shared" si="16"/>
        <v>1787</v>
      </c>
      <c r="D1093" s="700" t="s">
        <v>2226</v>
      </c>
      <c r="E1093" s="701" t="s">
        <v>8973</v>
      </c>
      <c r="F1093" s="566">
        <v>2</v>
      </c>
      <c r="G1093" s="662">
        <v>22513.695900538769</v>
      </c>
      <c r="H1093" s="662">
        <v>23348.234595619684</v>
      </c>
      <c r="I1093" s="662">
        <v>24226.671962938533</v>
      </c>
      <c r="J1093" s="662">
        <v>25151.32761529522</v>
      </c>
      <c r="K1093" s="566" t="s">
        <v>1898</v>
      </c>
      <c r="L1093" s="549"/>
      <c r="M1093" s="540"/>
      <c r="O1093" s="559"/>
      <c r="S1093" s="550"/>
      <c r="T1093" s="547"/>
      <c r="U1093" s="547"/>
      <c r="V1093" s="547"/>
      <c r="W1093" s="549"/>
    </row>
    <row r="1094" spans="1:23">
      <c r="A1094" s="565">
        <v>1788</v>
      </c>
      <c r="B1094" s="696" t="s">
        <v>6501</v>
      </c>
      <c r="C1094" s="566">
        <f t="shared" si="16"/>
        <v>1788</v>
      </c>
      <c r="D1094" s="700" t="s">
        <v>2226</v>
      </c>
      <c r="E1094" s="701" t="s">
        <v>8974</v>
      </c>
      <c r="F1094" s="566">
        <v>2</v>
      </c>
      <c r="G1094" s="662">
        <v>21962.881626621944</v>
      </c>
      <c r="H1094" s="662">
        <v>22772.542474424008</v>
      </c>
      <c r="I1094" s="662">
        <v>23624.826207424088</v>
      </c>
      <c r="J1094" s="662">
        <v>24521.936457782067</v>
      </c>
      <c r="K1094" s="566" t="s">
        <v>1899</v>
      </c>
      <c r="L1094" s="549"/>
      <c r="M1094" s="540"/>
      <c r="O1094" s="559"/>
      <c r="S1094" s="550"/>
      <c r="T1094" s="547"/>
      <c r="U1094" s="547"/>
      <c r="V1094" s="547"/>
      <c r="W1094" s="549"/>
    </row>
    <row r="1095" spans="1:23">
      <c r="A1095" s="565">
        <v>1789</v>
      </c>
      <c r="B1095" s="696" t="s">
        <v>6502</v>
      </c>
      <c r="C1095" s="566">
        <f t="shared" si="16"/>
        <v>1789</v>
      </c>
      <c r="D1095" s="700" t="s">
        <v>2226</v>
      </c>
      <c r="E1095" s="701" t="s">
        <v>8975</v>
      </c>
      <c r="F1095" s="566">
        <v>2</v>
      </c>
      <c r="G1095" s="662">
        <v>20401.610781041836</v>
      </c>
      <c r="H1095" s="662">
        <v>21135.246319327474</v>
      </c>
      <c r="I1095" s="662">
        <v>21907.5034107313</v>
      </c>
      <c r="J1095" s="662">
        <v>22720.411716453214</v>
      </c>
      <c r="K1095" s="566" t="s">
        <v>1900</v>
      </c>
      <c r="L1095" s="549"/>
      <c r="M1095" s="540"/>
      <c r="O1095" s="557"/>
      <c r="S1095" s="550"/>
      <c r="T1095" s="547"/>
      <c r="U1095" s="547"/>
      <c r="V1095" s="547"/>
      <c r="W1095" s="549"/>
    </row>
    <row r="1096" spans="1:23">
      <c r="A1096" s="565">
        <v>1790</v>
      </c>
      <c r="B1096" s="696" t="s">
        <v>6503</v>
      </c>
      <c r="C1096" s="566">
        <f t="shared" si="16"/>
        <v>1790</v>
      </c>
      <c r="D1096" s="700" t="s">
        <v>2226</v>
      </c>
      <c r="E1096" s="701" t="s">
        <v>8976</v>
      </c>
      <c r="F1096" s="566">
        <v>1</v>
      </c>
      <c r="G1096" s="662">
        <v>0</v>
      </c>
      <c r="H1096" s="662">
        <v>0</v>
      </c>
      <c r="I1096" s="662">
        <v>27284.079950586616</v>
      </c>
      <c r="J1096" s="662">
        <v>27968.166246407887</v>
      </c>
      <c r="K1096" s="566" t="s">
        <v>4038</v>
      </c>
      <c r="L1096" s="549"/>
      <c r="M1096" s="540"/>
      <c r="O1096" s="557"/>
      <c r="S1096" s="550"/>
      <c r="T1096" s="547"/>
      <c r="U1096" s="547"/>
      <c r="V1096" s="547"/>
      <c r="W1096" s="549"/>
    </row>
    <row r="1097" spans="1:23">
      <c r="A1097" s="565">
        <v>1791</v>
      </c>
      <c r="B1097" s="696" t="s">
        <v>6504</v>
      </c>
      <c r="C1097" s="566">
        <f t="shared" ref="C1097:C1160" si="17">A1097</f>
        <v>1791</v>
      </c>
      <c r="D1097" s="700" t="s">
        <v>2226</v>
      </c>
      <c r="E1097" s="701" t="s">
        <v>8977</v>
      </c>
      <c r="F1097" s="566">
        <v>1</v>
      </c>
      <c r="G1097" s="662">
        <v>0</v>
      </c>
      <c r="H1097" s="662">
        <v>0</v>
      </c>
      <c r="I1097" s="662">
        <v>27284.079950586616</v>
      </c>
      <c r="J1097" s="662">
        <v>27968.166246407887</v>
      </c>
      <c r="K1097" s="566" t="s">
        <v>4039</v>
      </c>
      <c r="L1097" s="549"/>
      <c r="M1097" s="540"/>
      <c r="O1097" s="557"/>
      <c r="S1097" s="550"/>
      <c r="T1097" s="547"/>
      <c r="U1097" s="547"/>
      <c r="V1097" s="547"/>
      <c r="W1097" s="549"/>
    </row>
    <row r="1098" spans="1:23">
      <c r="A1098" s="565">
        <v>1792</v>
      </c>
      <c r="B1098" s="695" t="s">
        <v>6505</v>
      </c>
      <c r="C1098" s="566">
        <f t="shared" si="17"/>
        <v>1792</v>
      </c>
      <c r="D1098" s="699" t="s">
        <v>2226</v>
      </c>
      <c r="E1098" s="701" t="s">
        <v>8978</v>
      </c>
      <c r="F1098" s="567">
        <v>1</v>
      </c>
      <c r="G1098" s="662">
        <v>0</v>
      </c>
      <c r="H1098" s="662">
        <v>55568.259450013327</v>
      </c>
      <c r="I1098" s="662">
        <v>57026.36504247057</v>
      </c>
      <c r="J1098" s="662">
        <v>58561.227841566775</v>
      </c>
      <c r="K1098" s="568" t="s">
        <v>3113</v>
      </c>
      <c r="L1098" s="549"/>
      <c r="M1098" s="540"/>
      <c r="O1098" s="557"/>
      <c r="S1098" s="550"/>
      <c r="T1098" s="547"/>
      <c r="U1098" s="547"/>
      <c r="V1098" s="547"/>
      <c r="W1098" s="549"/>
    </row>
    <row r="1099" spans="1:23">
      <c r="A1099" s="565">
        <v>1793</v>
      </c>
      <c r="B1099" s="696" t="s">
        <v>6506</v>
      </c>
      <c r="C1099" s="566">
        <f t="shared" si="17"/>
        <v>1793</v>
      </c>
      <c r="D1099" s="700" t="s">
        <v>2226</v>
      </c>
      <c r="E1099" s="701" t="s">
        <v>8979</v>
      </c>
      <c r="F1099" s="566">
        <v>1</v>
      </c>
      <c r="G1099" s="662">
        <v>0</v>
      </c>
      <c r="H1099" s="662">
        <v>57637.833559727507</v>
      </c>
      <c r="I1099" s="662">
        <v>59152.581000455873</v>
      </c>
      <c r="J1099" s="662">
        <v>60747.063095973259</v>
      </c>
      <c r="K1099" s="566" t="s">
        <v>3114</v>
      </c>
      <c r="L1099" s="549"/>
      <c r="M1099" s="540"/>
      <c r="O1099" s="541"/>
      <c r="S1099" s="550"/>
      <c r="T1099" s="547"/>
      <c r="U1099" s="547"/>
      <c r="V1099" s="547"/>
      <c r="W1099" s="549"/>
    </row>
    <row r="1100" spans="1:23">
      <c r="A1100" s="565">
        <v>1794</v>
      </c>
      <c r="B1100" s="696" t="s">
        <v>6507</v>
      </c>
      <c r="C1100" s="566">
        <f t="shared" si="17"/>
        <v>1794</v>
      </c>
      <c r="D1100" s="700" t="s">
        <v>2226</v>
      </c>
      <c r="E1100" s="701" t="s">
        <v>8980</v>
      </c>
      <c r="F1100" s="566">
        <v>1</v>
      </c>
      <c r="G1100" s="662">
        <v>0</v>
      </c>
      <c r="H1100" s="662">
        <v>51469.691115089227</v>
      </c>
      <c r="I1100" s="662">
        <v>50471.190983521017</v>
      </c>
      <c r="J1100" s="662">
        <v>51764.599148782487</v>
      </c>
      <c r="K1100" s="566" t="s">
        <v>3115</v>
      </c>
      <c r="L1100" s="549"/>
      <c r="M1100" s="540"/>
      <c r="O1100" s="541"/>
      <c r="S1100" s="550"/>
      <c r="T1100" s="547"/>
      <c r="U1100" s="547"/>
      <c r="V1100" s="547"/>
      <c r="W1100" s="549"/>
    </row>
    <row r="1101" spans="1:23">
      <c r="A1101" s="565">
        <v>1795</v>
      </c>
      <c r="B1101" s="696" t="s">
        <v>6508</v>
      </c>
      <c r="C1101" s="566">
        <f t="shared" si="17"/>
        <v>1795</v>
      </c>
      <c r="D1101" s="700" t="s">
        <v>2226</v>
      </c>
      <c r="E1101" s="701" t="s">
        <v>8981</v>
      </c>
      <c r="F1101" s="566">
        <v>1</v>
      </c>
      <c r="G1101" s="662">
        <v>0</v>
      </c>
      <c r="H1101" s="662">
        <v>53518.975282551284</v>
      </c>
      <c r="I1101" s="662">
        <v>54921.001694104263</v>
      </c>
      <c r="J1101" s="662">
        <v>56396.831308619854</v>
      </c>
      <c r="K1101" s="566" t="s">
        <v>3116</v>
      </c>
      <c r="L1101" s="549"/>
      <c r="M1101" s="540"/>
      <c r="O1101" s="541"/>
      <c r="S1101" s="550"/>
      <c r="T1101" s="547"/>
      <c r="U1101" s="547"/>
      <c r="V1101" s="547"/>
      <c r="W1101" s="549"/>
    </row>
    <row r="1102" spans="1:23">
      <c r="A1102" s="565">
        <v>1796</v>
      </c>
      <c r="B1102" s="696" t="s">
        <v>6509</v>
      </c>
      <c r="C1102" s="566">
        <f t="shared" si="17"/>
        <v>1796</v>
      </c>
      <c r="D1102" s="700" t="s">
        <v>2226</v>
      </c>
      <c r="E1102" s="701" t="s">
        <v>8982</v>
      </c>
      <c r="F1102" s="566">
        <v>1</v>
      </c>
      <c r="G1102" s="662">
        <v>28059.481274301223</v>
      </c>
      <c r="H1102" s="662">
        <v>28826.115561746163</v>
      </c>
      <c r="I1102" s="662">
        <v>29552.37846561374</v>
      </c>
      <c r="J1102" s="662">
        <v>30316.879305959061</v>
      </c>
      <c r="K1102" s="566" t="s">
        <v>3117</v>
      </c>
      <c r="L1102" s="549"/>
      <c r="M1102" s="540"/>
      <c r="O1102" s="541"/>
      <c r="S1102" s="550"/>
      <c r="T1102" s="547"/>
      <c r="U1102" s="547"/>
      <c r="V1102" s="547"/>
      <c r="W1102" s="549"/>
    </row>
    <row r="1103" spans="1:23">
      <c r="A1103" s="565">
        <v>1797</v>
      </c>
      <c r="B1103" s="696" t="s">
        <v>6510</v>
      </c>
      <c r="C1103" s="566">
        <f t="shared" si="17"/>
        <v>1797</v>
      </c>
      <c r="D1103" s="700" t="s">
        <v>2226</v>
      </c>
      <c r="E1103" s="701" t="s">
        <v>8983</v>
      </c>
      <c r="F1103" s="566">
        <v>1</v>
      </c>
      <c r="G1103" s="662">
        <v>25116.698242669929</v>
      </c>
      <c r="H1103" s="662">
        <v>0</v>
      </c>
      <c r="I1103" s="662">
        <v>0</v>
      </c>
      <c r="J1103" s="662">
        <v>0</v>
      </c>
      <c r="K1103" s="566" t="s">
        <v>5275</v>
      </c>
      <c r="L1103" s="549"/>
      <c r="M1103" s="540"/>
      <c r="O1103" s="541"/>
      <c r="S1103" s="550"/>
      <c r="T1103" s="547"/>
      <c r="U1103" s="547"/>
      <c r="V1103" s="547"/>
      <c r="W1103" s="549"/>
    </row>
    <row r="1104" spans="1:23">
      <c r="A1104" s="565">
        <v>1798</v>
      </c>
      <c r="B1104" s="696" t="s">
        <v>6511</v>
      </c>
      <c r="C1104" s="566">
        <f t="shared" si="17"/>
        <v>1798</v>
      </c>
      <c r="D1104" s="700" t="s">
        <v>2226</v>
      </c>
      <c r="E1104" s="701" t="s">
        <v>8984</v>
      </c>
      <c r="F1104" s="566">
        <v>1</v>
      </c>
      <c r="G1104" s="662">
        <v>24687.927549281165</v>
      </c>
      <c r="H1104" s="662">
        <v>0</v>
      </c>
      <c r="I1104" s="662">
        <v>0</v>
      </c>
      <c r="J1104" s="662">
        <v>0</v>
      </c>
      <c r="K1104" s="566" t="s">
        <v>5276</v>
      </c>
      <c r="L1104" s="549"/>
      <c r="M1104" s="540"/>
      <c r="O1104" s="541"/>
      <c r="S1104" s="550"/>
      <c r="T1104" s="547"/>
      <c r="U1104" s="547"/>
      <c r="V1104" s="547"/>
      <c r="W1104" s="549"/>
    </row>
    <row r="1105" spans="1:23">
      <c r="A1105" s="565">
        <v>1799</v>
      </c>
      <c r="B1105" s="696" t="s">
        <v>6512</v>
      </c>
      <c r="C1105" s="566">
        <f t="shared" si="17"/>
        <v>1799</v>
      </c>
      <c r="D1105" s="700" t="s">
        <v>2226</v>
      </c>
      <c r="E1105" s="701" t="s">
        <v>8985</v>
      </c>
      <c r="F1105" s="566">
        <v>1</v>
      </c>
      <c r="G1105" s="662">
        <v>0</v>
      </c>
      <c r="H1105" s="662">
        <v>25011.606418351468</v>
      </c>
      <c r="I1105" s="662">
        <v>0</v>
      </c>
      <c r="J1105" s="662">
        <v>0</v>
      </c>
      <c r="K1105" s="566" t="s">
        <v>3118</v>
      </c>
      <c r="L1105" s="549"/>
      <c r="M1105" s="540"/>
      <c r="O1105" s="541"/>
      <c r="S1105" s="550"/>
      <c r="T1105" s="547"/>
      <c r="U1105" s="547"/>
      <c r="V1105" s="547"/>
      <c r="W1105" s="549"/>
    </row>
    <row r="1106" spans="1:23">
      <c r="A1106" s="565">
        <v>1800</v>
      </c>
      <c r="B1106" s="696" t="s">
        <v>6513</v>
      </c>
      <c r="C1106" s="566">
        <f t="shared" si="17"/>
        <v>1800</v>
      </c>
      <c r="D1106" s="700" t="s">
        <v>2226</v>
      </c>
      <c r="E1106" s="701" t="s">
        <v>8986</v>
      </c>
      <c r="F1106" s="566">
        <v>1</v>
      </c>
      <c r="G1106" s="662">
        <v>46186.961517689808</v>
      </c>
      <c r="H1106" s="662">
        <v>0</v>
      </c>
      <c r="I1106" s="662">
        <v>0</v>
      </c>
      <c r="J1106" s="662">
        <v>0</v>
      </c>
      <c r="K1106" s="566" t="s">
        <v>5277</v>
      </c>
      <c r="L1106" s="549"/>
      <c r="M1106" s="540"/>
      <c r="O1106" s="541"/>
      <c r="S1106" s="550"/>
      <c r="T1106" s="547"/>
      <c r="U1106" s="547"/>
      <c r="V1106" s="547"/>
      <c r="W1106" s="549"/>
    </row>
    <row r="1107" spans="1:23">
      <c r="A1107" s="565">
        <v>1801</v>
      </c>
      <c r="B1107" s="696" t="s">
        <v>6514</v>
      </c>
      <c r="C1107" s="566">
        <f t="shared" si="17"/>
        <v>1801</v>
      </c>
      <c r="D1107" s="700" t="s">
        <v>2226</v>
      </c>
      <c r="E1107" s="701" t="s">
        <v>8987</v>
      </c>
      <c r="F1107" s="566">
        <v>1</v>
      </c>
      <c r="G1107" s="662">
        <v>44103.114304611277</v>
      </c>
      <c r="H1107" s="662">
        <v>45705.32356461</v>
      </c>
      <c r="I1107" s="662">
        <v>47391.938998563732</v>
      </c>
      <c r="J1107" s="662">
        <v>49167.262970567972</v>
      </c>
      <c r="K1107" s="566" t="s">
        <v>1901</v>
      </c>
      <c r="L1107" s="549"/>
      <c r="M1107" s="540"/>
      <c r="O1107" s="541"/>
      <c r="S1107" s="550"/>
      <c r="T1107" s="547"/>
      <c r="U1107" s="547"/>
      <c r="V1107" s="547"/>
      <c r="W1107" s="549"/>
    </row>
    <row r="1108" spans="1:23">
      <c r="A1108" s="565">
        <v>1802</v>
      </c>
      <c r="B1108" s="696" t="s">
        <v>6515</v>
      </c>
      <c r="C1108" s="566">
        <f t="shared" si="17"/>
        <v>1802</v>
      </c>
      <c r="D1108" s="700" t="s">
        <v>2226</v>
      </c>
      <c r="E1108" s="701" t="s">
        <v>8988</v>
      </c>
      <c r="F1108" s="566">
        <v>1</v>
      </c>
      <c r="G1108" s="662">
        <v>0</v>
      </c>
      <c r="H1108" s="662">
        <v>0</v>
      </c>
      <c r="I1108" s="662">
        <v>47298.528907996595</v>
      </c>
      <c r="J1108" s="662">
        <v>49068.973910408036</v>
      </c>
      <c r="K1108" s="566" t="s">
        <v>4040</v>
      </c>
      <c r="L1108" s="549"/>
      <c r="M1108" s="540"/>
      <c r="O1108" s="541"/>
      <c r="S1108" s="550"/>
      <c r="T1108" s="547"/>
      <c r="U1108" s="547"/>
      <c r="V1108" s="547"/>
      <c r="W1108" s="549"/>
    </row>
    <row r="1109" spans="1:23">
      <c r="A1109" s="565">
        <v>1803</v>
      </c>
      <c r="B1109" s="696" t="s">
        <v>6516</v>
      </c>
      <c r="C1109" s="566">
        <f t="shared" si="17"/>
        <v>1803</v>
      </c>
      <c r="D1109" s="700" t="s">
        <v>2226</v>
      </c>
      <c r="E1109" s="701" t="s">
        <v>8989</v>
      </c>
      <c r="F1109" s="566">
        <v>1</v>
      </c>
      <c r="G1109" s="662">
        <v>57231.228249131207</v>
      </c>
      <c r="H1109" s="662">
        <v>59278.00034756989</v>
      </c>
      <c r="I1109" s="662">
        <v>61432.508965470908</v>
      </c>
      <c r="J1109" s="662">
        <v>63700.387095000406</v>
      </c>
      <c r="K1109" s="566" t="s">
        <v>1902</v>
      </c>
      <c r="L1109" s="549"/>
      <c r="M1109" s="540"/>
      <c r="O1109" s="541"/>
      <c r="S1109" s="550"/>
      <c r="T1109" s="547"/>
      <c r="U1109" s="547"/>
      <c r="V1109" s="547"/>
      <c r="W1109" s="549"/>
    </row>
    <row r="1110" spans="1:23">
      <c r="A1110" s="565">
        <v>1804</v>
      </c>
      <c r="B1110" s="696" t="s">
        <v>6517</v>
      </c>
      <c r="C1110" s="566">
        <f t="shared" si="17"/>
        <v>1804</v>
      </c>
      <c r="D1110" s="700" t="s">
        <v>2226</v>
      </c>
      <c r="E1110" s="701" t="s">
        <v>8990</v>
      </c>
      <c r="F1110" s="566">
        <v>1</v>
      </c>
      <c r="G1110" s="662">
        <v>45621.948761751431</v>
      </c>
      <c r="H1110" s="662">
        <v>47309.806115237887</v>
      </c>
      <c r="I1110" s="662">
        <v>49086.505069581894</v>
      </c>
      <c r="J1110" s="662">
        <v>50956.747177300145</v>
      </c>
      <c r="K1110" s="566" t="s">
        <v>1903</v>
      </c>
      <c r="L1110" s="549"/>
      <c r="M1110" s="540"/>
      <c r="O1110" s="540"/>
      <c r="S1110" s="550"/>
      <c r="T1110" s="547"/>
      <c r="U1110" s="547"/>
      <c r="V1110" s="547"/>
      <c r="W1110" s="549"/>
    </row>
    <row r="1111" spans="1:23">
      <c r="A1111" s="565">
        <v>1805</v>
      </c>
      <c r="B1111" s="696" t="s">
        <v>6518</v>
      </c>
      <c r="C1111" s="566">
        <f t="shared" si="17"/>
        <v>1805</v>
      </c>
      <c r="D1111" s="700" t="s">
        <v>2226</v>
      </c>
      <c r="E1111" s="701" t="s">
        <v>8991</v>
      </c>
      <c r="F1111" s="566">
        <v>1</v>
      </c>
      <c r="G1111" s="662">
        <v>33883.766289141538</v>
      </c>
      <c r="H1111" s="662">
        <v>0</v>
      </c>
      <c r="I1111" s="662">
        <v>0</v>
      </c>
      <c r="J1111" s="662">
        <v>0</v>
      </c>
      <c r="K1111" s="566" t="s">
        <v>5278</v>
      </c>
      <c r="L1111" s="549"/>
      <c r="M1111" s="540"/>
      <c r="O1111" s="540"/>
      <c r="S1111" s="550"/>
      <c r="T1111" s="547"/>
      <c r="U1111" s="547"/>
      <c r="V1111" s="547"/>
      <c r="W1111" s="549"/>
    </row>
    <row r="1112" spans="1:23">
      <c r="A1112" s="565">
        <v>1806</v>
      </c>
      <c r="B1112" s="696" t="s">
        <v>6519</v>
      </c>
      <c r="C1112" s="566">
        <f t="shared" si="17"/>
        <v>1806</v>
      </c>
      <c r="D1112" s="700" t="s">
        <v>2226</v>
      </c>
      <c r="E1112" s="701" t="s">
        <v>8992</v>
      </c>
      <c r="F1112" s="566">
        <v>1</v>
      </c>
      <c r="G1112" s="662">
        <v>30689.658282468758</v>
      </c>
      <c r="H1112" s="662">
        <v>31888.592954653122</v>
      </c>
      <c r="I1112" s="662">
        <v>33024.413895980993</v>
      </c>
      <c r="J1112" s="662">
        <v>34220.030761525355</v>
      </c>
      <c r="K1112" s="566" t="s">
        <v>1904</v>
      </c>
      <c r="L1112" s="549"/>
      <c r="M1112" s="540"/>
      <c r="O1112" s="540"/>
      <c r="S1112" s="550"/>
      <c r="T1112" s="547"/>
      <c r="U1112" s="547"/>
      <c r="V1112" s="547"/>
      <c r="W1112" s="549"/>
    </row>
    <row r="1113" spans="1:23">
      <c r="A1113" s="565">
        <v>1807</v>
      </c>
      <c r="B1113" s="696" t="s">
        <v>6520</v>
      </c>
      <c r="C1113" s="566">
        <f t="shared" si="17"/>
        <v>1807</v>
      </c>
      <c r="D1113" s="700" t="s">
        <v>2226</v>
      </c>
      <c r="E1113" s="701" t="s">
        <v>8993</v>
      </c>
      <c r="F1113" s="566">
        <v>1</v>
      </c>
      <c r="G1113" s="662">
        <v>0</v>
      </c>
      <c r="H1113" s="662">
        <v>0</v>
      </c>
      <c r="I1113" s="662">
        <v>0</v>
      </c>
      <c r="J1113" s="662">
        <v>33732.518700335255</v>
      </c>
      <c r="K1113" s="566" t="s">
        <v>4770</v>
      </c>
      <c r="L1113" s="549"/>
      <c r="M1113" s="540"/>
      <c r="O1113" s="540"/>
      <c r="S1113" s="550"/>
      <c r="T1113" s="547"/>
      <c r="U1113" s="547"/>
      <c r="V1113" s="547"/>
      <c r="W1113" s="549"/>
    </row>
    <row r="1114" spans="1:23">
      <c r="A1114" s="565">
        <v>1808</v>
      </c>
      <c r="B1114" s="696" t="s">
        <v>6521</v>
      </c>
      <c r="C1114" s="566">
        <f t="shared" si="17"/>
        <v>1808</v>
      </c>
      <c r="D1114" s="700" t="s">
        <v>2226</v>
      </c>
      <c r="E1114" s="701" t="s">
        <v>8994</v>
      </c>
      <c r="F1114" s="566">
        <v>1</v>
      </c>
      <c r="G1114" s="662">
        <v>32070.273489457009</v>
      </c>
      <c r="H1114" s="662">
        <v>33327.646801323324</v>
      </c>
      <c r="I1114" s="662">
        <v>34518.814789782213</v>
      </c>
      <c r="J1114" s="662">
        <v>35772.719485615802</v>
      </c>
      <c r="K1114" s="566" t="s">
        <v>1905</v>
      </c>
      <c r="L1114" s="549"/>
      <c r="M1114" s="540"/>
      <c r="O1114" s="540"/>
      <c r="S1114" s="550"/>
      <c r="T1114" s="547"/>
      <c r="U1114" s="547"/>
      <c r="V1114" s="547"/>
      <c r="W1114" s="549"/>
    </row>
    <row r="1115" spans="1:23">
      <c r="A1115" s="565">
        <v>1809</v>
      </c>
      <c r="B1115" s="696" t="s">
        <v>6522</v>
      </c>
      <c r="C1115" s="566">
        <f t="shared" si="17"/>
        <v>1809</v>
      </c>
      <c r="D1115" s="700" t="s">
        <v>2226</v>
      </c>
      <c r="E1115" s="701" t="s">
        <v>8995</v>
      </c>
      <c r="F1115" s="566">
        <v>1</v>
      </c>
      <c r="G1115" s="662">
        <v>0</v>
      </c>
      <c r="H1115" s="662">
        <v>33979.13506954749</v>
      </c>
      <c r="I1115" s="662">
        <v>35225.976674525577</v>
      </c>
      <c r="J1115" s="662">
        <v>36407.181910300111</v>
      </c>
      <c r="K1115" s="566" t="s">
        <v>4041</v>
      </c>
      <c r="L1115" s="549"/>
      <c r="M1115" s="540"/>
      <c r="O1115" s="32"/>
      <c r="S1115" s="550"/>
      <c r="T1115" s="547"/>
      <c r="U1115" s="547"/>
      <c r="V1115" s="547"/>
      <c r="W1115" s="549"/>
    </row>
    <row r="1116" spans="1:23">
      <c r="A1116" s="565">
        <v>1810</v>
      </c>
      <c r="B1116" s="696" t="s">
        <v>6523</v>
      </c>
      <c r="C1116" s="566">
        <f t="shared" si="17"/>
        <v>1810</v>
      </c>
      <c r="D1116" s="700" t="s">
        <v>2226</v>
      </c>
      <c r="E1116" s="701" t="s">
        <v>8996</v>
      </c>
      <c r="F1116" s="566">
        <v>1</v>
      </c>
      <c r="G1116" s="662">
        <v>0</v>
      </c>
      <c r="H1116" s="662">
        <v>0</v>
      </c>
      <c r="I1116" s="662">
        <v>47556.329570764443</v>
      </c>
      <c r="J1116" s="662">
        <v>49179.198152192985</v>
      </c>
      <c r="K1116" s="566" t="s">
        <v>4042</v>
      </c>
      <c r="L1116" s="549"/>
      <c r="M1116" s="540"/>
      <c r="O1116" s="540"/>
      <c r="S1116" s="550"/>
      <c r="T1116" s="547"/>
      <c r="U1116" s="547"/>
      <c r="V1116" s="547"/>
      <c r="W1116" s="549"/>
    </row>
    <row r="1117" spans="1:23">
      <c r="A1117" s="565">
        <v>1811</v>
      </c>
      <c r="B1117" s="696" t="s">
        <v>6524</v>
      </c>
      <c r="C1117" s="566">
        <f t="shared" si="17"/>
        <v>1811</v>
      </c>
      <c r="D1117" s="700" t="s">
        <v>2226</v>
      </c>
      <c r="E1117" s="701" t="s">
        <v>8997</v>
      </c>
      <c r="F1117" s="566">
        <v>1</v>
      </c>
      <c r="G1117" s="662">
        <v>0</v>
      </c>
      <c r="H1117" s="662">
        <v>0</v>
      </c>
      <c r="I1117" s="662">
        <v>47556.329570764443</v>
      </c>
      <c r="J1117" s="662">
        <v>49179.198152192985</v>
      </c>
      <c r="K1117" s="566" t="s">
        <v>4043</v>
      </c>
      <c r="L1117" s="549"/>
      <c r="M1117" s="540"/>
      <c r="O1117" s="540"/>
      <c r="S1117" s="550"/>
      <c r="T1117" s="547"/>
      <c r="U1117" s="547"/>
      <c r="V1117" s="547"/>
      <c r="W1117" s="549"/>
    </row>
    <row r="1118" spans="1:23">
      <c r="A1118" s="565">
        <v>1812</v>
      </c>
      <c r="B1118" s="696" t="s">
        <v>6525</v>
      </c>
      <c r="C1118" s="566">
        <f t="shared" si="17"/>
        <v>1812</v>
      </c>
      <c r="D1118" s="700" t="s">
        <v>2226</v>
      </c>
      <c r="E1118" s="701" t="s">
        <v>8998</v>
      </c>
      <c r="F1118" s="566">
        <v>1</v>
      </c>
      <c r="G1118" s="662">
        <v>40835.35983500068</v>
      </c>
      <c r="H1118" s="662">
        <v>42436.417558901463</v>
      </c>
      <c r="I1118" s="662">
        <v>44121.698365859527</v>
      </c>
      <c r="J1118" s="662">
        <v>45895.744791742691</v>
      </c>
      <c r="K1118" s="566" t="s">
        <v>1906</v>
      </c>
      <c r="L1118" s="549"/>
      <c r="M1118" s="540"/>
      <c r="O1118" s="540"/>
      <c r="S1118" s="550"/>
      <c r="T1118" s="547"/>
      <c r="U1118" s="547"/>
      <c r="V1118" s="547"/>
      <c r="W1118" s="549"/>
    </row>
    <row r="1119" spans="1:23">
      <c r="A1119" s="565">
        <v>1813</v>
      </c>
      <c r="B1119" s="696" t="s">
        <v>6526</v>
      </c>
      <c r="C1119" s="566">
        <f t="shared" si="17"/>
        <v>1813</v>
      </c>
      <c r="D1119" s="700" t="s">
        <v>2226</v>
      </c>
      <c r="E1119" s="701" t="s">
        <v>8999</v>
      </c>
      <c r="F1119" s="566">
        <v>1</v>
      </c>
      <c r="G1119" s="662">
        <v>0</v>
      </c>
      <c r="H1119" s="662">
        <v>0</v>
      </c>
      <c r="I1119" s="662">
        <v>0</v>
      </c>
      <c r="J1119" s="662">
        <v>34456.360354653334</v>
      </c>
      <c r="K1119" s="566" t="s">
        <v>4771</v>
      </c>
      <c r="L1119" s="549"/>
      <c r="M1119" s="540"/>
      <c r="O1119" s="540"/>
      <c r="S1119" s="550"/>
      <c r="T1119" s="547"/>
      <c r="U1119" s="547"/>
      <c r="V1119" s="547"/>
      <c r="W1119" s="549"/>
    </row>
    <row r="1120" spans="1:23">
      <c r="A1120" s="565">
        <v>1814</v>
      </c>
      <c r="B1120" s="696" t="s">
        <v>6527</v>
      </c>
      <c r="C1120" s="566">
        <f t="shared" si="17"/>
        <v>1814</v>
      </c>
      <c r="D1120" s="700" t="s">
        <v>2226</v>
      </c>
      <c r="E1120" s="701" t="s">
        <v>9000</v>
      </c>
      <c r="F1120" s="566">
        <v>1</v>
      </c>
      <c r="G1120" s="662">
        <v>31343.932478629889</v>
      </c>
      <c r="H1120" s="662">
        <v>32403.92450819951</v>
      </c>
      <c r="I1120" s="662">
        <v>33519.701216344925</v>
      </c>
      <c r="J1120" s="662">
        <v>34694.172385108075</v>
      </c>
      <c r="K1120" s="566" t="s">
        <v>1907</v>
      </c>
      <c r="L1120" s="549"/>
      <c r="M1120" s="540"/>
      <c r="O1120" s="540"/>
      <c r="S1120" s="550"/>
      <c r="T1120" s="547"/>
      <c r="U1120" s="547"/>
      <c r="V1120" s="547"/>
      <c r="W1120" s="549"/>
    </row>
    <row r="1121" spans="1:23">
      <c r="A1121" s="565">
        <v>1815</v>
      </c>
      <c r="B1121" s="696" t="s">
        <v>6528</v>
      </c>
      <c r="C1121" s="566">
        <f t="shared" si="17"/>
        <v>1815</v>
      </c>
      <c r="D1121" s="700" t="s">
        <v>2226</v>
      </c>
      <c r="E1121" s="701" t="s">
        <v>9001</v>
      </c>
      <c r="F1121" s="566">
        <v>1</v>
      </c>
      <c r="G1121" s="662">
        <v>30488.167328317235</v>
      </c>
      <c r="H1121" s="662">
        <v>31516.983121723057</v>
      </c>
      <c r="I1121" s="662">
        <v>32599.920861109254</v>
      </c>
      <c r="J1121" s="662">
        <v>33739.890328517788</v>
      </c>
      <c r="K1121" s="566" t="s">
        <v>1908</v>
      </c>
      <c r="L1121" s="549"/>
      <c r="M1121" s="540"/>
      <c r="O1121" s="540"/>
      <c r="S1121" s="550"/>
      <c r="T1121" s="547"/>
      <c r="U1121" s="547"/>
      <c r="V1121" s="547"/>
      <c r="W1121" s="549"/>
    </row>
    <row r="1122" spans="1:23">
      <c r="A1122" s="565">
        <v>1816</v>
      </c>
      <c r="B1122" s="696" t="s">
        <v>6529</v>
      </c>
      <c r="C1122" s="566">
        <f t="shared" si="17"/>
        <v>1816</v>
      </c>
      <c r="D1122" s="700" t="s">
        <v>2226</v>
      </c>
      <c r="E1122" s="701" t="s">
        <v>9002</v>
      </c>
      <c r="F1122" s="566">
        <v>1</v>
      </c>
      <c r="G1122" s="662">
        <v>0</v>
      </c>
      <c r="H1122" s="662">
        <v>0</v>
      </c>
      <c r="I1122" s="662">
        <v>35863.65876813401</v>
      </c>
      <c r="J1122" s="662">
        <v>0</v>
      </c>
      <c r="K1122" s="566" t="s">
        <v>4772</v>
      </c>
      <c r="L1122" s="549"/>
      <c r="M1122" s="540"/>
      <c r="O1122" s="540"/>
      <c r="S1122" s="550"/>
      <c r="T1122" s="547"/>
      <c r="U1122" s="547"/>
      <c r="V1122" s="547"/>
      <c r="W1122" s="549"/>
    </row>
    <row r="1123" spans="1:23">
      <c r="A1123" s="565">
        <v>1817</v>
      </c>
      <c r="B1123" s="696" t="s">
        <v>6530</v>
      </c>
      <c r="C1123" s="566">
        <f t="shared" si="17"/>
        <v>1817</v>
      </c>
      <c r="D1123" s="700" t="s">
        <v>2226</v>
      </c>
      <c r="E1123" s="701" t="s">
        <v>9003</v>
      </c>
      <c r="F1123" s="566">
        <v>1</v>
      </c>
      <c r="G1123" s="662">
        <v>16363.697397196429</v>
      </c>
      <c r="H1123" s="662">
        <v>16763.168235502122</v>
      </c>
      <c r="I1123" s="662">
        <v>17183.650548883579</v>
      </c>
      <c r="J1123" s="662">
        <v>17626.267945633637</v>
      </c>
      <c r="K1123" s="566" t="s">
        <v>1909</v>
      </c>
      <c r="L1123" s="549"/>
      <c r="M1123" s="540"/>
      <c r="O1123" s="540"/>
      <c r="S1123" s="550"/>
      <c r="T1123" s="547"/>
      <c r="U1123" s="547"/>
      <c r="V1123" s="547"/>
      <c r="W1123" s="549"/>
    </row>
    <row r="1124" spans="1:23">
      <c r="A1124" s="565">
        <v>1818</v>
      </c>
      <c r="B1124" s="696" t="s">
        <v>6531</v>
      </c>
      <c r="C1124" s="566">
        <f t="shared" si="17"/>
        <v>1818</v>
      </c>
      <c r="D1124" s="700" t="s">
        <v>2226</v>
      </c>
      <c r="E1124" s="701" t="s">
        <v>9004</v>
      </c>
      <c r="F1124" s="566">
        <v>1</v>
      </c>
      <c r="G1124" s="662">
        <v>17905.207670586231</v>
      </c>
      <c r="H1124" s="662">
        <v>18337.937314359453</v>
      </c>
      <c r="I1124" s="662">
        <v>18793.420026062337</v>
      </c>
      <c r="J1124" s="662">
        <v>19272.891774816973</v>
      </c>
      <c r="K1124" s="566" t="s">
        <v>1910</v>
      </c>
      <c r="L1124" s="549"/>
      <c r="M1124" s="540"/>
      <c r="O1124" s="540"/>
      <c r="S1124" s="550"/>
      <c r="T1124" s="547"/>
      <c r="U1124" s="547"/>
      <c r="V1124" s="547"/>
      <c r="W1124" s="549"/>
    </row>
    <row r="1125" spans="1:23">
      <c r="A1125" s="565">
        <v>1819</v>
      </c>
      <c r="B1125" s="696" t="s">
        <v>6532</v>
      </c>
      <c r="C1125" s="566">
        <f t="shared" si="17"/>
        <v>1819</v>
      </c>
      <c r="D1125" s="700" t="s">
        <v>2226</v>
      </c>
      <c r="E1125" s="701" t="s">
        <v>9005</v>
      </c>
      <c r="F1125" s="566">
        <v>1</v>
      </c>
      <c r="G1125" s="662">
        <v>18178.891567488223</v>
      </c>
      <c r="H1125" s="662">
        <v>18629.879846019809</v>
      </c>
      <c r="I1125" s="662">
        <v>19104.576259529957</v>
      </c>
      <c r="J1125" s="662">
        <v>19604.272957555404</v>
      </c>
      <c r="K1125" s="566" t="s">
        <v>1911</v>
      </c>
      <c r="L1125" s="549"/>
      <c r="M1125" s="540"/>
      <c r="O1125" s="540"/>
      <c r="S1125" s="550"/>
      <c r="T1125" s="547"/>
      <c r="U1125" s="547"/>
      <c r="V1125" s="547"/>
      <c r="W1125" s="549"/>
    </row>
    <row r="1126" spans="1:23">
      <c r="A1126" s="565">
        <v>1820</v>
      </c>
      <c r="B1126" s="696" t="s">
        <v>6533</v>
      </c>
      <c r="C1126" s="566">
        <f t="shared" si="17"/>
        <v>1820</v>
      </c>
      <c r="D1126" s="700" t="s">
        <v>2226</v>
      </c>
      <c r="E1126" s="701" t="s">
        <v>9006</v>
      </c>
      <c r="F1126" s="566">
        <v>1</v>
      </c>
      <c r="G1126" s="662">
        <v>19377.981217542321</v>
      </c>
      <c r="H1126" s="662">
        <v>19851.497842345005</v>
      </c>
      <c r="I1126" s="662">
        <v>20349.930481041018</v>
      </c>
      <c r="J1126" s="662">
        <v>20874.59937337444</v>
      </c>
      <c r="K1126" s="566" t="s">
        <v>1912</v>
      </c>
      <c r="L1126" s="549"/>
      <c r="M1126" s="540"/>
      <c r="O1126" s="540"/>
      <c r="S1126" s="550"/>
      <c r="T1126" s="547"/>
      <c r="U1126" s="547"/>
      <c r="V1126" s="547"/>
      <c r="W1126" s="549"/>
    </row>
    <row r="1127" spans="1:23">
      <c r="A1127" s="565">
        <v>1821</v>
      </c>
      <c r="B1127" s="696" t="s">
        <v>6534</v>
      </c>
      <c r="C1127" s="566">
        <f t="shared" si="17"/>
        <v>1821</v>
      </c>
      <c r="D1127" s="700" t="s">
        <v>2226</v>
      </c>
      <c r="E1127" s="701" t="s">
        <v>9007</v>
      </c>
      <c r="F1127" s="566">
        <v>1</v>
      </c>
      <c r="G1127" s="662">
        <v>0</v>
      </c>
      <c r="H1127" s="662">
        <v>0</v>
      </c>
      <c r="I1127" s="662">
        <v>23412.693841963381</v>
      </c>
      <c r="J1127" s="662">
        <v>23968.73949587387</v>
      </c>
      <c r="K1127" s="566" t="s">
        <v>4044</v>
      </c>
      <c r="L1127" s="549"/>
      <c r="M1127" s="540"/>
      <c r="O1127" s="540"/>
      <c r="S1127" s="550"/>
      <c r="T1127" s="547"/>
      <c r="U1127" s="547"/>
      <c r="V1127" s="547"/>
      <c r="W1127" s="549"/>
    </row>
    <row r="1128" spans="1:23">
      <c r="A1128" s="565">
        <v>1822</v>
      </c>
      <c r="B1128" s="696" t="s">
        <v>6535</v>
      </c>
      <c r="C1128" s="566">
        <f t="shared" si="17"/>
        <v>1822</v>
      </c>
      <c r="D1128" s="700" t="s">
        <v>2226</v>
      </c>
      <c r="E1128" s="701" t="s">
        <v>9008</v>
      </c>
      <c r="F1128" s="566">
        <v>1</v>
      </c>
      <c r="G1128" s="662">
        <v>0</v>
      </c>
      <c r="H1128" s="662">
        <v>21900.581982676835</v>
      </c>
      <c r="I1128" s="662">
        <v>22430.784645852404</v>
      </c>
      <c r="J1128" s="662">
        <v>22988.880884897291</v>
      </c>
      <c r="K1128" s="566" t="s">
        <v>3119</v>
      </c>
      <c r="L1128" s="549"/>
      <c r="M1128" s="540"/>
      <c r="O1128" s="540"/>
      <c r="S1128" s="550"/>
      <c r="T1128" s="547"/>
      <c r="U1128" s="547"/>
      <c r="V1128" s="547"/>
      <c r="W1128" s="549"/>
    </row>
    <row r="1129" spans="1:23">
      <c r="A1129" s="565">
        <v>1823</v>
      </c>
      <c r="B1129" s="696" t="s">
        <v>6536</v>
      </c>
      <c r="C1129" s="566">
        <f t="shared" si="17"/>
        <v>1823</v>
      </c>
      <c r="D1129" s="700" t="s">
        <v>2226</v>
      </c>
      <c r="E1129" s="701" t="s">
        <v>9009</v>
      </c>
      <c r="F1129" s="566">
        <v>2</v>
      </c>
      <c r="G1129" s="662">
        <v>28850.507270561084</v>
      </c>
      <c r="H1129" s="662">
        <v>29962.819598428974</v>
      </c>
      <c r="I1129" s="662">
        <v>31133.644159174135</v>
      </c>
      <c r="J1129" s="662">
        <v>32366.112430076399</v>
      </c>
      <c r="K1129" s="566" t="s">
        <v>1945</v>
      </c>
      <c r="L1129" s="549"/>
      <c r="M1129" s="540"/>
      <c r="O1129" s="540"/>
      <c r="S1129" s="550"/>
      <c r="T1129" s="547"/>
      <c r="U1129" s="547"/>
      <c r="V1129" s="547"/>
      <c r="W1129" s="549"/>
    </row>
    <row r="1130" spans="1:23">
      <c r="A1130" s="565">
        <v>1824</v>
      </c>
      <c r="B1130" s="696" t="s">
        <v>6537</v>
      </c>
      <c r="C1130" s="566">
        <f t="shared" si="17"/>
        <v>1824</v>
      </c>
      <c r="D1130" s="700" t="s">
        <v>2226</v>
      </c>
      <c r="E1130" s="701" t="s">
        <v>9010</v>
      </c>
      <c r="F1130" s="566">
        <v>2</v>
      </c>
      <c r="G1130" s="662">
        <v>21050.865198693493</v>
      </c>
      <c r="H1130" s="662">
        <v>21826.253767377169</v>
      </c>
      <c r="I1130" s="662">
        <v>22642.467521338935</v>
      </c>
      <c r="J1130" s="662">
        <v>23501.652102418688</v>
      </c>
      <c r="K1130" s="566" t="s">
        <v>1943</v>
      </c>
      <c r="L1130" s="549"/>
      <c r="M1130" s="540"/>
      <c r="O1130" s="540"/>
      <c r="S1130" s="550"/>
      <c r="T1130" s="547"/>
      <c r="U1130" s="547"/>
      <c r="V1130" s="547"/>
      <c r="W1130" s="549"/>
    </row>
    <row r="1131" spans="1:23">
      <c r="A1131" s="565">
        <v>1825</v>
      </c>
      <c r="B1131" s="696" t="s">
        <v>6538</v>
      </c>
      <c r="C1131" s="566">
        <f t="shared" si="17"/>
        <v>1825</v>
      </c>
      <c r="D1131" s="700" t="s">
        <v>2226</v>
      </c>
      <c r="E1131" s="701" t="s">
        <v>9011</v>
      </c>
      <c r="F1131" s="566">
        <v>2</v>
      </c>
      <c r="G1131" s="662">
        <v>24904.893635220564</v>
      </c>
      <c r="H1131" s="662">
        <v>25847.352315816413</v>
      </c>
      <c r="I1131" s="662">
        <v>26839.392720009946</v>
      </c>
      <c r="J1131" s="662">
        <v>27883.682402521023</v>
      </c>
      <c r="K1131" s="566" t="s">
        <v>1944</v>
      </c>
      <c r="L1131" s="549"/>
      <c r="M1131" s="540"/>
      <c r="O1131" s="540"/>
      <c r="S1131" s="550"/>
      <c r="T1131" s="547"/>
      <c r="U1131" s="547"/>
      <c r="V1131" s="547"/>
      <c r="W1131" s="549"/>
    </row>
    <row r="1132" spans="1:23">
      <c r="A1132" s="565">
        <v>1826</v>
      </c>
      <c r="B1132" s="696" t="s">
        <v>6539</v>
      </c>
      <c r="C1132" s="566">
        <f t="shared" si="17"/>
        <v>1826</v>
      </c>
      <c r="D1132" s="700" t="s">
        <v>2226</v>
      </c>
      <c r="E1132" s="701" t="s">
        <v>9012</v>
      </c>
      <c r="F1132" s="566">
        <v>1</v>
      </c>
      <c r="G1132" s="662">
        <v>7851.2853358214234</v>
      </c>
      <c r="H1132" s="662">
        <v>8025.4090614749166</v>
      </c>
      <c r="I1132" s="662">
        <v>0</v>
      </c>
      <c r="J1132" s="662">
        <v>0</v>
      </c>
      <c r="K1132" s="566" t="s">
        <v>1913</v>
      </c>
      <c r="L1132" s="549"/>
      <c r="M1132" s="540"/>
      <c r="O1132" s="540"/>
      <c r="S1132" s="550"/>
      <c r="T1132" s="547"/>
      <c r="U1132" s="547"/>
      <c r="V1132" s="547"/>
      <c r="W1132" s="549"/>
    </row>
    <row r="1133" spans="1:23">
      <c r="A1133" s="565">
        <v>1827</v>
      </c>
      <c r="B1133" s="696" t="s">
        <v>6540</v>
      </c>
      <c r="C1133" s="566">
        <f t="shared" si="17"/>
        <v>1827</v>
      </c>
      <c r="D1133" s="700" t="s">
        <v>2226</v>
      </c>
      <c r="E1133" s="701" t="s">
        <v>9013</v>
      </c>
      <c r="F1133" s="566">
        <v>1</v>
      </c>
      <c r="G1133" s="662">
        <v>8632.3471076995047</v>
      </c>
      <c r="H1133" s="662">
        <v>8830.9309788548817</v>
      </c>
      <c r="I1133" s="662">
        <v>0</v>
      </c>
      <c r="J1133" s="662">
        <v>0</v>
      </c>
      <c r="K1133" s="566" t="s">
        <v>1914</v>
      </c>
      <c r="L1133" s="549"/>
      <c r="M1133" s="540"/>
      <c r="O1133" s="540"/>
      <c r="S1133" s="550"/>
      <c r="T1133" s="547"/>
      <c r="U1133" s="547"/>
      <c r="V1133" s="547"/>
      <c r="W1133" s="549"/>
    </row>
    <row r="1134" spans="1:23">
      <c r="A1134" s="565">
        <v>1828</v>
      </c>
      <c r="B1134" s="696" t="s">
        <v>6541</v>
      </c>
      <c r="C1134" s="566">
        <f t="shared" si="17"/>
        <v>1828</v>
      </c>
      <c r="D1134" s="700" t="s">
        <v>2226</v>
      </c>
      <c r="E1134" s="701" t="s">
        <v>9014</v>
      </c>
      <c r="F1134" s="566">
        <v>1</v>
      </c>
      <c r="G1134" s="662">
        <v>9250.6876771029838</v>
      </c>
      <c r="H1134" s="662">
        <v>0</v>
      </c>
      <c r="I1134" s="662">
        <v>0</v>
      </c>
      <c r="J1134" s="662">
        <v>0</v>
      </c>
      <c r="K1134" s="566" t="s">
        <v>5279</v>
      </c>
      <c r="L1134" s="549"/>
      <c r="M1134" s="540"/>
      <c r="O1134" s="540"/>
      <c r="S1134" s="550"/>
      <c r="T1134" s="547"/>
      <c r="U1134" s="547"/>
      <c r="V1134" s="547"/>
      <c r="W1134" s="549"/>
    </row>
    <row r="1135" spans="1:23">
      <c r="A1135" s="565">
        <v>1829</v>
      </c>
      <c r="B1135" s="696" t="s">
        <v>6542</v>
      </c>
      <c r="C1135" s="566">
        <f t="shared" si="17"/>
        <v>1829</v>
      </c>
      <c r="D1135" s="700" t="s">
        <v>2226</v>
      </c>
      <c r="E1135" s="701" t="s">
        <v>9015</v>
      </c>
      <c r="F1135" s="566">
        <v>1</v>
      </c>
      <c r="G1135" s="662">
        <v>8780.9486974111696</v>
      </c>
      <c r="H1135" s="662">
        <v>8979.9195961852474</v>
      </c>
      <c r="I1135" s="662">
        <v>0</v>
      </c>
      <c r="J1135" s="662">
        <v>0</v>
      </c>
      <c r="K1135" s="566" t="s">
        <v>1915</v>
      </c>
      <c r="L1135" s="549"/>
      <c r="M1135" s="540"/>
      <c r="O1135" s="540"/>
      <c r="S1135" s="550"/>
      <c r="T1135" s="547"/>
      <c r="U1135" s="547"/>
      <c r="V1135" s="547"/>
      <c r="W1135" s="549"/>
    </row>
    <row r="1136" spans="1:23">
      <c r="A1136" s="565">
        <v>1830</v>
      </c>
      <c r="B1136" s="696" t="s">
        <v>6543</v>
      </c>
      <c r="C1136" s="566">
        <f t="shared" si="17"/>
        <v>1830</v>
      </c>
      <c r="D1136" s="700" t="s">
        <v>2226</v>
      </c>
      <c r="E1136" s="701" t="s">
        <v>9016</v>
      </c>
      <c r="F1136" s="566">
        <v>1</v>
      </c>
      <c r="G1136" s="662">
        <v>8143.0999341581728</v>
      </c>
      <c r="H1136" s="662">
        <v>8322.5259381878659</v>
      </c>
      <c r="I1136" s="662">
        <v>0</v>
      </c>
      <c r="J1136" s="662">
        <v>0</v>
      </c>
      <c r="K1136" s="566" t="s">
        <v>1916</v>
      </c>
      <c r="L1136" s="549"/>
      <c r="M1136" s="540"/>
      <c r="O1136" s="540"/>
      <c r="S1136" s="550"/>
      <c r="T1136" s="547"/>
      <c r="U1136" s="547"/>
      <c r="V1136" s="547"/>
      <c r="W1136" s="549"/>
    </row>
    <row r="1137" spans="1:23">
      <c r="A1137" s="565">
        <v>1831</v>
      </c>
      <c r="B1137" s="696" t="s">
        <v>6544</v>
      </c>
      <c r="C1137" s="566">
        <f t="shared" si="17"/>
        <v>1831</v>
      </c>
      <c r="D1137" s="700" t="s">
        <v>2226</v>
      </c>
      <c r="E1137" s="701" t="s">
        <v>9017</v>
      </c>
      <c r="F1137" s="566">
        <v>1</v>
      </c>
      <c r="G1137" s="662">
        <v>8518.4422659672873</v>
      </c>
      <c r="H1137" s="662">
        <v>8713.4654830306154</v>
      </c>
      <c r="I1137" s="662">
        <v>0</v>
      </c>
      <c r="J1137" s="662">
        <v>0</v>
      </c>
      <c r="K1137" s="566" t="s">
        <v>1917</v>
      </c>
      <c r="L1137" s="549"/>
      <c r="M1137" s="540"/>
      <c r="O1137" s="540"/>
      <c r="S1137" s="550"/>
      <c r="T1137" s="547"/>
      <c r="U1137" s="547"/>
      <c r="V1137" s="547"/>
      <c r="W1137" s="549"/>
    </row>
    <row r="1138" spans="1:23">
      <c r="A1138" s="565">
        <v>1832</v>
      </c>
      <c r="B1138" s="696" t="s">
        <v>6545</v>
      </c>
      <c r="C1138" s="566">
        <f t="shared" si="17"/>
        <v>1832</v>
      </c>
      <c r="D1138" s="700" t="s">
        <v>2226</v>
      </c>
      <c r="E1138" s="701" t="s">
        <v>9018</v>
      </c>
      <c r="F1138" s="566">
        <v>1</v>
      </c>
      <c r="G1138" s="662">
        <v>9250.6876771029838</v>
      </c>
      <c r="H1138" s="662">
        <v>9468.6229291934033</v>
      </c>
      <c r="I1138" s="662">
        <v>0</v>
      </c>
      <c r="J1138" s="662">
        <v>0</v>
      </c>
      <c r="K1138" s="566" t="s">
        <v>1918</v>
      </c>
      <c r="L1138" s="549"/>
      <c r="M1138" s="540"/>
      <c r="O1138" s="540"/>
      <c r="S1138" s="550"/>
      <c r="T1138" s="547"/>
      <c r="U1138" s="547"/>
      <c r="V1138" s="547"/>
      <c r="W1138" s="549"/>
    </row>
    <row r="1139" spans="1:23">
      <c r="A1139" s="565">
        <v>1833</v>
      </c>
      <c r="B1139" s="696" t="s">
        <v>6546</v>
      </c>
      <c r="C1139" s="566">
        <f t="shared" si="17"/>
        <v>1833</v>
      </c>
      <c r="D1139" s="700" t="s">
        <v>2226</v>
      </c>
      <c r="E1139" s="701" t="s">
        <v>9019</v>
      </c>
      <c r="F1139" s="566">
        <v>1</v>
      </c>
      <c r="G1139" s="662">
        <v>10476.791868239825</v>
      </c>
      <c r="H1139" s="662">
        <v>10727.740576205422</v>
      </c>
      <c r="I1139" s="662">
        <v>0</v>
      </c>
      <c r="J1139" s="662">
        <v>0</v>
      </c>
      <c r="K1139" s="566" t="s">
        <v>1919</v>
      </c>
      <c r="L1139" s="549"/>
      <c r="M1139" s="540"/>
      <c r="O1139" s="540"/>
      <c r="S1139" s="550"/>
      <c r="T1139" s="547"/>
      <c r="U1139" s="547"/>
      <c r="V1139" s="547"/>
      <c r="W1139" s="549"/>
    </row>
    <row r="1140" spans="1:23">
      <c r="A1140" s="565">
        <v>1834</v>
      </c>
      <c r="B1140" s="696" t="s">
        <v>6547</v>
      </c>
      <c r="C1140" s="566">
        <f t="shared" si="17"/>
        <v>1834</v>
      </c>
      <c r="D1140" s="700" t="s">
        <v>2226</v>
      </c>
      <c r="E1140" s="701" t="s">
        <v>9020</v>
      </c>
      <c r="F1140" s="566">
        <v>1</v>
      </c>
      <c r="G1140" s="662">
        <v>11208.65467254643</v>
      </c>
      <c r="H1140" s="662">
        <v>11482.050982396675</v>
      </c>
      <c r="I1140" s="662">
        <v>0</v>
      </c>
      <c r="J1140" s="662">
        <v>0</v>
      </c>
      <c r="K1140" s="566" t="s">
        <v>1920</v>
      </c>
      <c r="L1140" s="549"/>
      <c r="M1140" s="540"/>
      <c r="O1140" s="540"/>
      <c r="S1140" s="550"/>
      <c r="T1140" s="547"/>
      <c r="U1140" s="547"/>
      <c r="V1140" s="547"/>
      <c r="W1140" s="549"/>
    </row>
    <row r="1141" spans="1:23">
      <c r="A1141" s="565">
        <v>1835</v>
      </c>
      <c r="B1141" s="696" t="s">
        <v>6548</v>
      </c>
      <c r="C1141" s="566">
        <f t="shared" si="17"/>
        <v>1835</v>
      </c>
      <c r="D1141" s="700" t="s">
        <v>2226</v>
      </c>
      <c r="E1141" s="701" t="s">
        <v>9021</v>
      </c>
      <c r="F1141" s="566">
        <v>1</v>
      </c>
      <c r="G1141" s="662">
        <v>10752.752625315876</v>
      </c>
      <c r="H1141" s="662">
        <v>0</v>
      </c>
      <c r="I1141" s="662">
        <v>0</v>
      </c>
      <c r="J1141" s="662">
        <v>0</v>
      </c>
      <c r="K1141" s="566" t="s">
        <v>5280</v>
      </c>
      <c r="L1141" s="549"/>
      <c r="M1141" s="540"/>
      <c r="O1141" s="540"/>
      <c r="S1141" s="550"/>
      <c r="T1141" s="547"/>
      <c r="U1141" s="547"/>
      <c r="V1141" s="547"/>
      <c r="W1141" s="549"/>
    </row>
    <row r="1142" spans="1:23">
      <c r="A1142" s="565">
        <v>1836</v>
      </c>
      <c r="B1142" s="696" t="s">
        <v>6549</v>
      </c>
      <c r="C1142" s="566">
        <f t="shared" si="17"/>
        <v>1836</v>
      </c>
      <c r="D1142" s="700" t="s">
        <v>2226</v>
      </c>
      <c r="E1142" s="701" t="s">
        <v>9022</v>
      </c>
      <c r="F1142" s="566">
        <v>1</v>
      </c>
      <c r="G1142" s="662">
        <v>0</v>
      </c>
      <c r="H1142" s="662">
        <v>9696.4326126578435</v>
      </c>
      <c r="I1142" s="662">
        <v>0</v>
      </c>
      <c r="J1142" s="662">
        <v>0</v>
      </c>
      <c r="K1142" s="566" t="s">
        <v>3120</v>
      </c>
      <c r="L1142" s="549"/>
      <c r="M1142" s="540"/>
      <c r="O1142" s="540"/>
      <c r="S1142" s="550"/>
      <c r="T1142" s="547"/>
      <c r="U1142" s="547"/>
      <c r="V1142" s="547"/>
      <c r="W1142" s="549"/>
    </row>
    <row r="1143" spans="1:23">
      <c r="A1143" s="565">
        <v>1837</v>
      </c>
      <c r="B1143" s="696" t="s">
        <v>6550</v>
      </c>
      <c r="C1143" s="566">
        <f t="shared" si="17"/>
        <v>1837</v>
      </c>
      <c r="D1143" s="700" t="s">
        <v>2226</v>
      </c>
      <c r="E1143" s="701" t="s">
        <v>9023</v>
      </c>
      <c r="F1143" s="566">
        <v>2</v>
      </c>
      <c r="G1143" s="662">
        <v>10095.145393167988</v>
      </c>
      <c r="H1143" s="662">
        <v>10288.962706549371</v>
      </c>
      <c r="I1143" s="662">
        <v>10492.985205286172</v>
      </c>
      <c r="J1143" s="662">
        <v>10707.727209064731</v>
      </c>
      <c r="K1143" s="566" t="s">
        <v>1921</v>
      </c>
      <c r="L1143" s="549"/>
      <c r="M1143" s="540"/>
      <c r="O1143" s="540"/>
      <c r="S1143" s="550"/>
      <c r="T1143" s="547"/>
      <c r="U1143" s="547"/>
      <c r="V1143" s="547"/>
      <c r="W1143" s="549"/>
    </row>
    <row r="1144" spans="1:23">
      <c r="A1144" s="565">
        <v>1838</v>
      </c>
      <c r="B1144" s="696" t="s">
        <v>6551</v>
      </c>
      <c r="C1144" s="566">
        <f t="shared" si="17"/>
        <v>1838</v>
      </c>
      <c r="D1144" s="700" t="s">
        <v>2226</v>
      </c>
      <c r="E1144" s="701" t="s">
        <v>9024</v>
      </c>
      <c r="F1144" s="566">
        <v>2</v>
      </c>
      <c r="G1144" s="662">
        <v>8651.6895587159452</v>
      </c>
      <c r="H1144" s="662">
        <v>8798.974475211493</v>
      </c>
      <c r="I1144" s="662">
        <v>8954.028325916599</v>
      </c>
      <c r="J1144" s="662">
        <v>9117.2300832317324</v>
      </c>
      <c r="K1144" s="566" t="s">
        <v>1922</v>
      </c>
      <c r="L1144" s="549"/>
      <c r="M1144" s="540"/>
      <c r="O1144" s="540"/>
      <c r="S1144" s="550"/>
      <c r="T1144" s="547"/>
      <c r="U1144" s="547"/>
      <c r="V1144" s="547"/>
      <c r="W1144" s="549"/>
    </row>
    <row r="1145" spans="1:23">
      <c r="A1145" s="565">
        <v>1839</v>
      </c>
      <c r="B1145" s="696" t="s">
        <v>6552</v>
      </c>
      <c r="C1145" s="566">
        <f t="shared" si="17"/>
        <v>1839</v>
      </c>
      <c r="D1145" s="700" t="s">
        <v>2226</v>
      </c>
      <c r="E1145" s="701" t="s">
        <v>9025</v>
      </c>
      <c r="F1145" s="566">
        <v>2</v>
      </c>
      <c r="G1145" s="662">
        <v>9470.2482462053304</v>
      </c>
      <c r="H1145" s="662">
        <v>9641.4896323017892</v>
      </c>
      <c r="I1145" s="662">
        <v>9821.7451476379101</v>
      </c>
      <c r="J1145" s="662">
        <v>10011.474972985692</v>
      </c>
      <c r="K1145" s="566" t="s">
        <v>1923</v>
      </c>
      <c r="L1145" s="549"/>
      <c r="M1145" s="540"/>
      <c r="O1145" s="540"/>
      <c r="S1145" s="550"/>
      <c r="T1145" s="547"/>
      <c r="U1145" s="547"/>
      <c r="V1145" s="547"/>
      <c r="W1145" s="549"/>
    </row>
    <row r="1146" spans="1:23">
      <c r="A1146" s="565">
        <v>1840</v>
      </c>
      <c r="B1146" s="696" t="s">
        <v>6553</v>
      </c>
      <c r="C1146" s="566">
        <f t="shared" si="17"/>
        <v>1840</v>
      </c>
      <c r="D1146" s="700" t="s">
        <v>2226</v>
      </c>
      <c r="E1146" s="701" t="s">
        <v>9026</v>
      </c>
      <c r="F1146" s="566">
        <v>2</v>
      </c>
      <c r="G1146" s="662">
        <v>9155.4158995203979</v>
      </c>
      <c r="H1146" s="662">
        <v>9317.4536701769575</v>
      </c>
      <c r="I1146" s="662">
        <v>9488.0183198440118</v>
      </c>
      <c r="J1146" s="662">
        <v>9667.5429598363789</v>
      </c>
      <c r="K1146" s="566" t="s">
        <v>1924</v>
      </c>
      <c r="L1146" s="549"/>
      <c r="M1146" s="540"/>
      <c r="O1146" s="540"/>
      <c r="S1146" s="550"/>
      <c r="T1146" s="547"/>
      <c r="U1146" s="547"/>
      <c r="V1146" s="547"/>
      <c r="W1146" s="549"/>
    </row>
    <row r="1147" spans="1:23">
      <c r="A1147" s="565">
        <v>1841</v>
      </c>
      <c r="B1147" s="696" t="s">
        <v>6554</v>
      </c>
      <c r="C1147" s="566">
        <f t="shared" si="17"/>
        <v>1841</v>
      </c>
      <c r="D1147" s="700" t="s">
        <v>2226</v>
      </c>
      <c r="E1147" s="701" t="s">
        <v>9027</v>
      </c>
      <c r="F1147" s="566">
        <v>2</v>
      </c>
      <c r="G1147" s="662">
        <v>20566.883041185163</v>
      </c>
      <c r="H1147" s="662">
        <v>21273.858501870898</v>
      </c>
      <c r="I1147" s="662">
        <v>22018.052020956497</v>
      </c>
      <c r="J1147" s="662">
        <v>22801.419502411918</v>
      </c>
      <c r="K1147" s="566" t="s">
        <v>1925</v>
      </c>
      <c r="L1147" s="549"/>
      <c r="M1147" s="540"/>
      <c r="O1147" s="540"/>
      <c r="S1147" s="550"/>
      <c r="T1147" s="547"/>
      <c r="U1147" s="547"/>
      <c r="V1147" s="547"/>
      <c r="W1147" s="549"/>
    </row>
    <row r="1148" spans="1:23">
      <c r="A1148" s="565">
        <v>1842</v>
      </c>
      <c r="B1148" s="696" t="s">
        <v>6555</v>
      </c>
      <c r="C1148" s="566">
        <f t="shared" si="17"/>
        <v>1842</v>
      </c>
      <c r="D1148" s="700" t="s">
        <v>2226</v>
      </c>
      <c r="E1148" s="701" t="s">
        <v>5102</v>
      </c>
      <c r="F1148" s="566">
        <v>2</v>
      </c>
      <c r="G1148" s="662">
        <v>23868.362829547135</v>
      </c>
      <c r="H1148" s="662">
        <v>24429.99992703833</v>
      </c>
      <c r="I1148" s="662">
        <v>25021.1968717659</v>
      </c>
      <c r="J1148" s="662">
        <v>25643.523692246068</v>
      </c>
      <c r="K1148" s="566" t="s">
        <v>1926</v>
      </c>
      <c r="L1148" s="549"/>
      <c r="M1148" s="540"/>
      <c r="O1148" s="540"/>
      <c r="S1148" s="550"/>
      <c r="T1148" s="547"/>
      <c r="U1148" s="547"/>
      <c r="V1148" s="547"/>
      <c r="W1148" s="549"/>
    </row>
    <row r="1149" spans="1:23">
      <c r="A1149" s="565">
        <v>1843</v>
      </c>
      <c r="B1149" s="696" t="s">
        <v>6556</v>
      </c>
      <c r="C1149" s="566">
        <f t="shared" si="17"/>
        <v>1843</v>
      </c>
      <c r="D1149" s="700" t="s">
        <v>2226</v>
      </c>
      <c r="E1149" s="701" t="s">
        <v>9028</v>
      </c>
      <c r="F1149" s="566">
        <v>2</v>
      </c>
      <c r="G1149" s="662">
        <v>24821.243485488882</v>
      </c>
      <c r="H1149" s="662">
        <v>25409.462789927078</v>
      </c>
      <c r="I1149" s="662">
        <v>26028.649553374809</v>
      </c>
      <c r="J1149" s="662">
        <v>26680.42794326265</v>
      </c>
      <c r="K1149" s="566" t="s">
        <v>1927</v>
      </c>
      <c r="L1149" s="549"/>
      <c r="M1149" s="540"/>
      <c r="O1149" s="540"/>
      <c r="S1149" s="550"/>
      <c r="T1149" s="547"/>
      <c r="U1149" s="547"/>
      <c r="V1149" s="547"/>
      <c r="W1149" s="549"/>
    </row>
    <row r="1150" spans="1:23">
      <c r="A1150" s="565">
        <v>1844</v>
      </c>
      <c r="B1150" s="696" t="s">
        <v>6557</v>
      </c>
      <c r="C1150" s="566">
        <f t="shared" si="17"/>
        <v>1844</v>
      </c>
      <c r="D1150" s="700" t="s">
        <v>2226</v>
      </c>
      <c r="E1150" s="701" t="s">
        <v>9029</v>
      </c>
      <c r="F1150" s="566">
        <v>2</v>
      </c>
      <c r="G1150" s="662">
        <v>25893.213921330469</v>
      </c>
      <c r="H1150" s="662">
        <v>26511.34497594833</v>
      </c>
      <c r="I1150" s="662">
        <v>27162.01351809195</v>
      </c>
      <c r="J1150" s="662">
        <v>27846.924923563427</v>
      </c>
      <c r="K1150" s="566" t="s">
        <v>1928</v>
      </c>
      <c r="L1150" s="549"/>
      <c r="M1150" s="540"/>
      <c r="O1150" s="540"/>
      <c r="S1150" s="550"/>
      <c r="T1150" s="547"/>
      <c r="U1150" s="547"/>
      <c r="V1150" s="547"/>
      <c r="W1150" s="549"/>
    </row>
    <row r="1151" spans="1:23">
      <c r="A1151" s="565">
        <v>1845</v>
      </c>
      <c r="B1151" s="695" t="s">
        <v>6558</v>
      </c>
      <c r="C1151" s="566">
        <f t="shared" si="17"/>
        <v>1845</v>
      </c>
      <c r="D1151" s="699" t="s">
        <v>2226</v>
      </c>
      <c r="E1151" s="701" t="s">
        <v>9030</v>
      </c>
      <c r="F1151" s="567">
        <v>2</v>
      </c>
      <c r="G1151" s="662">
        <v>0</v>
      </c>
      <c r="H1151" s="662">
        <v>0</v>
      </c>
      <c r="I1151" s="662">
        <v>0</v>
      </c>
      <c r="J1151" s="662">
        <v>28388.558126789379</v>
      </c>
      <c r="K1151" s="568" t="s">
        <v>4773</v>
      </c>
      <c r="L1151" s="549"/>
      <c r="M1151" s="540"/>
      <c r="O1151" s="540"/>
      <c r="S1151" s="550"/>
      <c r="T1151" s="547"/>
      <c r="U1151" s="547"/>
      <c r="V1151" s="547"/>
      <c r="W1151" s="549"/>
    </row>
    <row r="1152" spans="1:23">
      <c r="A1152" s="565">
        <v>1846</v>
      </c>
      <c r="B1152" s="695" t="s">
        <v>6559</v>
      </c>
      <c r="C1152" s="566">
        <f t="shared" si="17"/>
        <v>1846</v>
      </c>
      <c r="D1152" s="699" t="s">
        <v>2226</v>
      </c>
      <c r="E1152" s="701" t="s">
        <v>9031</v>
      </c>
      <c r="F1152" s="567">
        <v>2</v>
      </c>
      <c r="G1152" s="662">
        <v>17825.368887259738</v>
      </c>
      <c r="H1152" s="662">
        <v>18218.390336000564</v>
      </c>
      <c r="I1152" s="662">
        <v>18632.092850023986</v>
      </c>
      <c r="J1152" s="662">
        <v>19067.586277074221</v>
      </c>
      <c r="K1152" s="568" t="s">
        <v>1929</v>
      </c>
      <c r="L1152" s="549"/>
      <c r="M1152" s="540"/>
      <c r="O1152" s="540"/>
      <c r="S1152" s="550"/>
      <c r="T1152" s="547"/>
      <c r="U1152" s="547"/>
      <c r="V1152" s="547"/>
      <c r="W1152" s="549"/>
    </row>
    <row r="1153" spans="1:23">
      <c r="A1153" s="565">
        <v>1847</v>
      </c>
      <c r="B1153" s="695" t="s">
        <v>6560</v>
      </c>
      <c r="C1153" s="566">
        <f t="shared" si="17"/>
        <v>1847</v>
      </c>
      <c r="D1153" s="699" t="s">
        <v>2226</v>
      </c>
      <c r="E1153" s="701" t="s">
        <v>9032</v>
      </c>
      <c r="F1153" s="567">
        <v>2</v>
      </c>
      <c r="G1153" s="662">
        <v>17555.602924940289</v>
      </c>
      <c r="H1153" s="662">
        <v>17941.099064586135</v>
      </c>
      <c r="I1153" s="662">
        <v>18346.897297114116</v>
      </c>
      <c r="J1153" s="662">
        <v>18774.053331354091</v>
      </c>
      <c r="K1153" s="568" t="s">
        <v>1930</v>
      </c>
      <c r="L1153" s="549"/>
      <c r="M1153" s="540"/>
      <c r="O1153" s="540"/>
      <c r="S1153" s="550"/>
      <c r="T1153" s="547"/>
      <c r="U1153" s="547"/>
      <c r="V1153" s="547"/>
      <c r="W1153" s="549"/>
    </row>
    <row r="1154" spans="1:23">
      <c r="A1154" s="565">
        <v>1848</v>
      </c>
      <c r="B1154" s="695" t="s">
        <v>6561</v>
      </c>
      <c r="C1154" s="566">
        <f t="shared" si="17"/>
        <v>1848</v>
      </c>
      <c r="D1154" s="699" t="s">
        <v>2226</v>
      </c>
      <c r="E1154" s="701" t="s">
        <v>9033</v>
      </c>
      <c r="F1154" s="567">
        <v>2</v>
      </c>
      <c r="G1154" s="662">
        <v>17591.267181721669</v>
      </c>
      <c r="H1154" s="662">
        <v>17996.307469448711</v>
      </c>
      <c r="I1154" s="662">
        <v>18422.678489430586</v>
      </c>
      <c r="J1154" s="662">
        <v>18871.490089411494</v>
      </c>
      <c r="K1154" s="568" t="s">
        <v>1931</v>
      </c>
      <c r="L1154" s="549"/>
      <c r="M1154" s="540"/>
      <c r="O1154" s="540"/>
      <c r="S1154" s="550"/>
      <c r="T1154" s="547"/>
      <c r="U1154" s="547"/>
      <c r="V1154" s="547"/>
      <c r="W1154" s="549"/>
    </row>
    <row r="1155" spans="1:23">
      <c r="A1155" s="565">
        <v>1849</v>
      </c>
      <c r="B1155" s="695" t="s">
        <v>6562</v>
      </c>
      <c r="C1155" s="566">
        <f t="shared" si="17"/>
        <v>1849</v>
      </c>
      <c r="D1155" s="699" t="s">
        <v>2226</v>
      </c>
      <c r="E1155" s="701" t="s">
        <v>9034</v>
      </c>
      <c r="F1155" s="567">
        <v>2</v>
      </c>
      <c r="G1155" s="662">
        <v>0</v>
      </c>
      <c r="H1155" s="662">
        <v>0</v>
      </c>
      <c r="I1155" s="662">
        <v>22853.58797436559</v>
      </c>
      <c r="J1155" s="662">
        <v>23350.041818976562</v>
      </c>
      <c r="K1155" s="568" t="s">
        <v>4045</v>
      </c>
      <c r="L1155" s="549"/>
      <c r="M1155" s="540"/>
      <c r="O1155" s="540"/>
      <c r="S1155" s="550"/>
      <c r="T1155" s="547"/>
      <c r="U1155" s="547"/>
      <c r="V1155" s="547"/>
      <c r="W1155" s="549"/>
    </row>
    <row r="1156" spans="1:23">
      <c r="A1156" s="565">
        <v>1850</v>
      </c>
      <c r="B1156" s="695" t="s">
        <v>6563</v>
      </c>
      <c r="C1156" s="566">
        <f t="shared" si="17"/>
        <v>1850</v>
      </c>
      <c r="D1156" s="699" t="s">
        <v>2226</v>
      </c>
      <c r="E1156" s="701" t="s">
        <v>9035</v>
      </c>
      <c r="F1156" s="567">
        <v>2</v>
      </c>
      <c r="G1156" s="662">
        <v>21569.703760588345</v>
      </c>
      <c r="H1156" s="662">
        <v>22095.90693863593</v>
      </c>
      <c r="I1156" s="662">
        <v>22649.802171374737</v>
      </c>
      <c r="J1156" s="662">
        <v>23232.851209492284</v>
      </c>
      <c r="K1156" s="568" t="s">
        <v>1932</v>
      </c>
      <c r="L1156" s="549"/>
      <c r="M1156" s="540"/>
      <c r="O1156" s="540"/>
      <c r="S1156" s="550"/>
      <c r="T1156" s="547"/>
      <c r="U1156" s="547"/>
      <c r="V1156" s="547"/>
      <c r="W1156" s="549"/>
    </row>
    <row r="1157" spans="1:23">
      <c r="A1157" s="565">
        <v>1851</v>
      </c>
      <c r="B1157" s="695" t="s">
        <v>6564</v>
      </c>
      <c r="C1157" s="566">
        <f t="shared" si="17"/>
        <v>1851</v>
      </c>
      <c r="D1157" s="699" t="s">
        <v>2226</v>
      </c>
      <c r="E1157" s="701" t="s">
        <v>9036</v>
      </c>
      <c r="F1157" s="567">
        <v>2</v>
      </c>
      <c r="G1157" s="662">
        <v>0</v>
      </c>
      <c r="H1157" s="662">
        <v>0</v>
      </c>
      <c r="I1157" s="662">
        <v>25127.501113341543</v>
      </c>
      <c r="J1157" s="662">
        <v>25680.530123450713</v>
      </c>
      <c r="K1157" s="568" t="s">
        <v>4046</v>
      </c>
      <c r="L1157" s="549"/>
      <c r="M1157" s="540"/>
      <c r="O1157" s="540"/>
      <c r="S1157" s="550"/>
      <c r="T1157" s="547"/>
      <c r="U1157" s="547"/>
      <c r="V1157" s="547"/>
      <c r="W1157" s="549"/>
    </row>
    <row r="1158" spans="1:23">
      <c r="A1158" s="565">
        <v>1852</v>
      </c>
      <c r="B1158" s="695" t="s">
        <v>6565</v>
      </c>
      <c r="C1158" s="566">
        <f t="shared" si="17"/>
        <v>1852</v>
      </c>
      <c r="D1158" s="699" t="s">
        <v>2226</v>
      </c>
      <c r="E1158" s="701" t="s">
        <v>9037</v>
      </c>
      <c r="F1158" s="567">
        <v>2</v>
      </c>
      <c r="G1158" s="662">
        <v>0</v>
      </c>
      <c r="H1158" s="662">
        <v>0</v>
      </c>
      <c r="I1158" s="662">
        <v>0</v>
      </c>
      <c r="J1158" s="662">
        <v>27802.300686169543</v>
      </c>
      <c r="K1158" s="568" t="s">
        <v>4774</v>
      </c>
      <c r="L1158" s="549"/>
      <c r="M1158" s="540"/>
      <c r="O1158" s="540"/>
      <c r="S1158" s="550"/>
      <c r="T1158" s="547"/>
      <c r="U1158" s="547"/>
      <c r="V1158" s="547"/>
      <c r="W1158" s="549"/>
    </row>
    <row r="1159" spans="1:23">
      <c r="A1159" s="565">
        <v>1853</v>
      </c>
      <c r="B1159" s="695" t="s">
        <v>6566</v>
      </c>
      <c r="C1159" s="566">
        <f t="shared" si="17"/>
        <v>1853</v>
      </c>
      <c r="D1159" s="699" t="s">
        <v>2226</v>
      </c>
      <c r="E1159" s="701" t="s">
        <v>9038</v>
      </c>
      <c r="F1159" s="567">
        <v>1</v>
      </c>
      <c r="G1159" s="662">
        <v>0</v>
      </c>
      <c r="H1159" s="662">
        <v>47135.612670556467</v>
      </c>
      <c r="I1159" s="662">
        <v>48901.533036090368</v>
      </c>
      <c r="J1159" s="662">
        <v>0</v>
      </c>
      <c r="K1159" s="568" t="s">
        <v>4775</v>
      </c>
      <c r="L1159" s="549"/>
      <c r="M1159" s="540"/>
      <c r="O1159" s="540"/>
      <c r="S1159" s="550"/>
      <c r="T1159" s="547"/>
      <c r="U1159" s="547"/>
      <c r="V1159" s="547"/>
      <c r="W1159" s="549"/>
    </row>
    <row r="1160" spans="1:23">
      <c r="A1160" s="565">
        <v>1854</v>
      </c>
      <c r="B1160" s="695" t="s">
        <v>6567</v>
      </c>
      <c r="C1160" s="566">
        <f t="shared" si="17"/>
        <v>1854</v>
      </c>
      <c r="D1160" s="699" t="s">
        <v>2226</v>
      </c>
      <c r="E1160" s="701" t="s">
        <v>9039</v>
      </c>
      <c r="F1160" s="567">
        <v>1</v>
      </c>
      <c r="G1160" s="662">
        <v>0</v>
      </c>
      <c r="H1160" s="662">
        <v>44829.684323963833</v>
      </c>
      <c r="I1160" s="662">
        <v>46505.060357573602</v>
      </c>
      <c r="J1160" s="662">
        <v>0</v>
      </c>
      <c r="K1160" s="568" t="s">
        <v>4776</v>
      </c>
      <c r="L1160" s="549"/>
      <c r="M1160" s="540"/>
      <c r="O1160" s="540"/>
      <c r="S1160" s="550"/>
      <c r="T1160" s="547"/>
      <c r="U1160" s="547"/>
      <c r="V1160" s="547"/>
      <c r="W1160" s="549"/>
    </row>
    <row r="1161" spans="1:23">
      <c r="A1161" s="565">
        <v>1855</v>
      </c>
      <c r="B1161" s="695" t="s">
        <v>6568</v>
      </c>
      <c r="C1161" s="566">
        <f t="shared" ref="C1161:C1224" si="18">A1161</f>
        <v>1855</v>
      </c>
      <c r="D1161" s="699" t="s">
        <v>2226</v>
      </c>
      <c r="E1161" s="701" t="s">
        <v>9040</v>
      </c>
      <c r="F1161" s="567">
        <v>1</v>
      </c>
      <c r="G1161" s="662">
        <v>0</v>
      </c>
      <c r="H1161" s="662">
        <v>44829.684323963833</v>
      </c>
      <c r="I1161" s="662">
        <v>0</v>
      </c>
      <c r="J1161" s="662">
        <v>0</v>
      </c>
      <c r="K1161" s="568" t="s">
        <v>4777</v>
      </c>
      <c r="L1161" s="549"/>
      <c r="M1161" s="540"/>
      <c r="O1161" s="540"/>
      <c r="S1161" s="550"/>
      <c r="T1161" s="547"/>
      <c r="U1161" s="547"/>
      <c r="V1161" s="547"/>
      <c r="W1161" s="549"/>
    </row>
    <row r="1162" spans="1:23">
      <c r="A1162" s="565">
        <v>1856</v>
      </c>
      <c r="B1162" s="696" t="s">
        <v>6569</v>
      </c>
      <c r="C1162" s="566">
        <f t="shared" si="18"/>
        <v>1856</v>
      </c>
      <c r="D1162" s="700" t="s">
        <v>2226</v>
      </c>
      <c r="E1162" s="701" t="s">
        <v>9041</v>
      </c>
      <c r="F1162" s="566">
        <v>1</v>
      </c>
      <c r="G1162" s="662">
        <v>0</v>
      </c>
      <c r="H1162" s="662">
        <v>0</v>
      </c>
      <c r="I1162" s="662">
        <v>0</v>
      </c>
      <c r="J1162" s="662">
        <v>51562.995096014332</v>
      </c>
      <c r="K1162" s="566" t="s">
        <v>4778</v>
      </c>
      <c r="L1162" s="549"/>
      <c r="M1162" s="540"/>
      <c r="O1162" s="540"/>
      <c r="S1162" s="550"/>
      <c r="T1162" s="547"/>
      <c r="U1162" s="547"/>
      <c r="V1162" s="547"/>
      <c r="W1162" s="549"/>
    </row>
    <row r="1163" spans="1:23">
      <c r="A1163" s="565">
        <v>1857</v>
      </c>
      <c r="B1163" s="696" t="s">
        <v>6570</v>
      </c>
      <c r="C1163" s="566">
        <f t="shared" si="18"/>
        <v>1857</v>
      </c>
      <c r="D1163" s="700" t="s">
        <v>2226</v>
      </c>
      <c r="E1163" s="701" t="s">
        <v>9042</v>
      </c>
      <c r="F1163" s="566">
        <v>1</v>
      </c>
      <c r="G1163" s="662">
        <v>0</v>
      </c>
      <c r="H1163" s="662">
        <v>0</v>
      </c>
      <c r="I1163" s="662">
        <v>0</v>
      </c>
      <c r="J1163" s="662">
        <v>51055.690859763956</v>
      </c>
      <c r="K1163" s="566" t="s">
        <v>4779</v>
      </c>
      <c r="L1163" s="549"/>
      <c r="M1163" s="540"/>
      <c r="O1163" s="540"/>
      <c r="S1163" s="550"/>
      <c r="T1163" s="547"/>
      <c r="U1163" s="547"/>
      <c r="V1163" s="547"/>
      <c r="W1163" s="549"/>
    </row>
    <row r="1164" spans="1:23">
      <c r="A1164" s="565">
        <v>1858</v>
      </c>
      <c r="B1164" s="696" t="s">
        <v>6571</v>
      </c>
      <c r="C1164" s="566">
        <f t="shared" si="18"/>
        <v>1858</v>
      </c>
      <c r="D1164" s="700" t="s">
        <v>2226</v>
      </c>
      <c r="E1164" s="701" t="s">
        <v>9043</v>
      </c>
      <c r="F1164" s="566">
        <v>1</v>
      </c>
      <c r="G1164" s="662">
        <v>0</v>
      </c>
      <c r="H1164" s="662">
        <v>71861.992691914027</v>
      </c>
      <c r="I1164" s="662">
        <v>77481.62971171565</v>
      </c>
      <c r="J1164" s="662">
        <v>80439.347493526337</v>
      </c>
      <c r="K1164" s="566" t="s">
        <v>4047</v>
      </c>
      <c r="L1164" s="549"/>
      <c r="M1164" s="540"/>
      <c r="O1164" s="540"/>
      <c r="S1164" s="550"/>
      <c r="T1164" s="547"/>
      <c r="U1164" s="547"/>
      <c r="V1164" s="547"/>
      <c r="W1164" s="549"/>
    </row>
    <row r="1165" spans="1:23">
      <c r="A1165" s="565">
        <v>1859</v>
      </c>
      <c r="B1165" s="696" t="s">
        <v>6572</v>
      </c>
      <c r="C1165" s="566">
        <f t="shared" si="18"/>
        <v>1859</v>
      </c>
      <c r="D1165" s="700" t="s">
        <v>2226</v>
      </c>
      <c r="E1165" s="701" t="s">
        <v>9044</v>
      </c>
      <c r="F1165" s="566">
        <v>1</v>
      </c>
      <c r="G1165" s="662">
        <v>11784.470402225486</v>
      </c>
      <c r="H1165" s="662">
        <v>11998.520607106677</v>
      </c>
      <c r="I1165" s="662">
        <v>12223.84185263936</v>
      </c>
      <c r="J1165" s="662">
        <v>12461.011630305655</v>
      </c>
      <c r="K1165" s="566" t="s">
        <v>1933</v>
      </c>
      <c r="L1165" s="549"/>
      <c r="M1165" s="540"/>
      <c r="O1165" s="540"/>
      <c r="S1165" s="550"/>
      <c r="T1165" s="547"/>
      <c r="U1165" s="547"/>
      <c r="V1165" s="547"/>
      <c r="W1165" s="549"/>
    </row>
    <row r="1166" spans="1:23">
      <c r="A1166" s="565">
        <v>1860</v>
      </c>
      <c r="B1166" s="695" t="s">
        <v>6573</v>
      </c>
      <c r="C1166" s="566">
        <f t="shared" si="18"/>
        <v>1860</v>
      </c>
      <c r="D1166" s="699" t="s">
        <v>2226</v>
      </c>
      <c r="E1166" s="701" t="s">
        <v>9045</v>
      </c>
      <c r="F1166" s="567">
        <v>1</v>
      </c>
      <c r="G1166" s="662">
        <v>12637.084358432206</v>
      </c>
      <c r="H1166" s="662">
        <v>12870.351090219194</v>
      </c>
      <c r="I1166" s="662">
        <v>13115.904451126258</v>
      </c>
      <c r="J1166" s="662">
        <v>13374.381673133694</v>
      </c>
      <c r="K1166" s="568" t="s">
        <v>1934</v>
      </c>
      <c r="L1166" s="549"/>
      <c r="M1166" s="540"/>
      <c r="O1166" s="540"/>
      <c r="S1166" s="550"/>
      <c r="T1166" s="547"/>
      <c r="U1166" s="547"/>
      <c r="V1166" s="547"/>
      <c r="W1166" s="549"/>
    </row>
    <row r="1167" spans="1:23">
      <c r="A1167" s="565">
        <v>1861</v>
      </c>
      <c r="B1167" s="695" t="s">
        <v>6574</v>
      </c>
      <c r="C1167" s="566">
        <f t="shared" si="18"/>
        <v>1861</v>
      </c>
      <c r="D1167" s="699" t="s">
        <v>2226</v>
      </c>
      <c r="E1167" s="701" t="s">
        <v>9046</v>
      </c>
      <c r="F1167" s="567">
        <v>1</v>
      </c>
      <c r="G1167" s="662">
        <v>13515.320910214052</v>
      </c>
      <c r="H1167" s="662">
        <v>13768.381660388974</v>
      </c>
      <c r="I1167" s="662">
        <v>14034.764541651952</v>
      </c>
      <c r="J1167" s="662">
        <v>14315.166526481436</v>
      </c>
      <c r="K1167" s="568" t="s">
        <v>1935</v>
      </c>
      <c r="L1167" s="549"/>
      <c r="M1167" s="540"/>
      <c r="O1167" s="540"/>
      <c r="S1167" s="550"/>
      <c r="T1167" s="547"/>
      <c r="U1167" s="547"/>
      <c r="V1167" s="547"/>
      <c r="W1167" s="549"/>
    </row>
    <row r="1168" spans="1:23">
      <c r="A1168" s="565">
        <v>1862</v>
      </c>
      <c r="B1168" s="696" t="s">
        <v>6575</v>
      </c>
      <c r="C1168" s="566">
        <f t="shared" si="18"/>
        <v>1862</v>
      </c>
      <c r="D1168" s="700" t="s">
        <v>2226</v>
      </c>
      <c r="E1168" s="701" t="s">
        <v>9047</v>
      </c>
      <c r="F1168" s="566">
        <v>1</v>
      </c>
      <c r="G1168" s="662">
        <v>0</v>
      </c>
      <c r="H1168" s="662">
        <v>0</v>
      </c>
      <c r="I1168" s="662">
        <v>0</v>
      </c>
      <c r="J1168" s="662">
        <v>17598.929563881313</v>
      </c>
      <c r="K1168" s="566" t="s">
        <v>4780</v>
      </c>
      <c r="L1168" s="549"/>
      <c r="M1168" s="540"/>
      <c r="O1168" s="540"/>
      <c r="S1168" s="550"/>
      <c r="T1168" s="547"/>
      <c r="U1168" s="547"/>
      <c r="V1168" s="547"/>
      <c r="W1168" s="549"/>
    </row>
    <row r="1169" spans="1:23">
      <c r="A1169" s="565">
        <v>1863</v>
      </c>
      <c r="B1169" s="696" t="s">
        <v>6576</v>
      </c>
      <c r="C1169" s="566">
        <f t="shared" si="18"/>
        <v>1863</v>
      </c>
      <c r="D1169" s="700" t="s">
        <v>2226</v>
      </c>
      <c r="E1169" s="701" t="s">
        <v>9048</v>
      </c>
      <c r="F1169" s="566">
        <v>1</v>
      </c>
      <c r="G1169" s="662">
        <v>11210.602658370857</v>
      </c>
      <c r="H1169" s="662">
        <v>11411.72900215168</v>
      </c>
      <c r="I1169" s="662">
        <v>11623.429414105536</v>
      </c>
      <c r="J1169" s="662">
        <v>11846.281385714567</v>
      </c>
      <c r="K1169" s="566" t="s">
        <v>1936</v>
      </c>
      <c r="L1169" s="549"/>
      <c r="M1169" s="540"/>
      <c r="O1169" s="540"/>
      <c r="S1169" s="550"/>
      <c r="T1169" s="547"/>
      <c r="U1169" s="547"/>
      <c r="V1169" s="547"/>
      <c r="W1169" s="549"/>
    </row>
    <row r="1170" spans="1:23">
      <c r="A1170" s="565">
        <v>1864</v>
      </c>
      <c r="B1170" s="696" t="s">
        <v>6577</v>
      </c>
      <c r="C1170" s="566">
        <f t="shared" si="18"/>
        <v>1864</v>
      </c>
      <c r="D1170" s="700" t="s">
        <v>2226</v>
      </c>
      <c r="E1170" s="701" t="s">
        <v>9049</v>
      </c>
      <c r="F1170" s="566">
        <v>1</v>
      </c>
      <c r="G1170" s="662">
        <v>0</v>
      </c>
      <c r="H1170" s="662">
        <v>0</v>
      </c>
      <c r="I1170" s="662">
        <v>26273.640826432056</v>
      </c>
      <c r="J1170" s="662">
        <v>26930.06264337918</v>
      </c>
      <c r="K1170" s="566" t="s">
        <v>4048</v>
      </c>
      <c r="L1170" s="549"/>
      <c r="M1170" s="540"/>
      <c r="O1170" s="540"/>
      <c r="S1170" s="550"/>
      <c r="T1170" s="547"/>
      <c r="U1170" s="547"/>
      <c r="V1170" s="547"/>
      <c r="W1170" s="549"/>
    </row>
    <row r="1171" spans="1:23">
      <c r="A1171" s="565">
        <v>1865</v>
      </c>
      <c r="B1171" s="696" t="s">
        <v>6578</v>
      </c>
      <c r="C1171" s="566">
        <f t="shared" si="18"/>
        <v>1865</v>
      </c>
      <c r="D1171" s="700" t="s">
        <v>2226</v>
      </c>
      <c r="E1171" s="701" t="s">
        <v>9050</v>
      </c>
      <c r="F1171" s="566">
        <v>1</v>
      </c>
      <c r="G1171" s="662">
        <v>0</v>
      </c>
      <c r="H1171" s="662">
        <v>0</v>
      </c>
      <c r="I1171" s="662">
        <v>30924.095590613248</v>
      </c>
      <c r="J1171" s="662">
        <v>31707.797454855139</v>
      </c>
      <c r="K1171" s="566" t="s">
        <v>4049</v>
      </c>
      <c r="L1171" s="549"/>
      <c r="M1171" s="540"/>
      <c r="O1171" s="540"/>
      <c r="S1171" s="550"/>
      <c r="T1171" s="547"/>
      <c r="U1171" s="547"/>
      <c r="V1171" s="547"/>
      <c r="W1171" s="549"/>
    </row>
    <row r="1172" spans="1:23">
      <c r="A1172" s="565">
        <v>1866</v>
      </c>
      <c r="B1172" s="696" t="s">
        <v>6579</v>
      </c>
      <c r="C1172" s="566">
        <f t="shared" si="18"/>
        <v>1866</v>
      </c>
      <c r="D1172" s="700" t="s">
        <v>2226</v>
      </c>
      <c r="E1172" s="701" t="s">
        <v>9051</v>
      </c>
      <c r="F1172" s="566">
        <v>2</v>
      </c>
      <c r="G1172" s="662">
        <v>28599.960805434286</v>
      </c>
      <c r="H1172" s="662">
        <v>29693.368288983074</v>
      </c>
      <c r="I1172" s="662">
        <v>30786.775772531852</v>
      </c>
      <c r="J1172" s="662">
        <v>31937.709653517937</v>
      </c>
      <c r="K1172" s="566" t="s">
        <v>1937</v>
      </c>
      <c r="L1172" s="549"/>
      <c r="M1172" s="540"/>
      <c r="O1172" s="540"/>
      <c r="S1172" s="550"/>
      <c r="T1172" s="547"/>
      <c r="U1172" s="547"/>
      <c r="V1172" s="547"/>
      <c r="W1172" s="549"/>
    </row>
    <row r="1173" spans="1:23">
      <c r="A1173" s="565">
        <v>1867</v>
      </c>
      <c r="B1173" s="696" t="s">
        <v>6580</v>
      </c>
      <c r="C1173" s="566">
        <f t="shared" si="18"/>
        <v>1867</v>
      </c>
      <c r="D1173" s="700" t="s">
        <v>2226</v>
      </c>
      <c r="E1173" s="701" t="s">
        <v>9052</v>
      </c>
      <c r="F1173" s="566">
        <v>2</v>
      </c>
      <c r="G1173" s="662">
        <v>29513.665223394306</v>
      </c>
      <c r="H1173" s="662">
        <v>30647.665930941188</v>
      </c>
      <c r="I1173" s="662">
        <v>31781.666638488066</v>
      </c>
      <c r="J1173" s="662">
        <v>32975.339385312152</v>
      </c>
      <c r="K1173" s="566" t="s">
        <v>1938</v>
      </c>
      <c r="L1173" s="549"/>
      <c r="M1173" s="540"/>
      <c r="O1173" s="540"/>
      <c r="S1173" s="550"/>
      <c r="T1173" s="547"/>
      <c r="U1173" s="547"/>
      <c r="V1173" s="547"/>
      <c r="W1173" s="549"/>
    </row>
    <row r="1174" spans="1:23">
      <c r="A1174" s="565">
        <v>1868</v>
      </c>
      <c r="B1174" s="696" t="s">
        <v>6581</v>
      </c>
      <c r="C1174" s="566">
        <f t="shared" si="18"/>
        <v>1868</v>
      </c>
      <c r="D1174" s="700" t="s">
        <v>2226</v>
      </c>
      <c r="E1174" s="701" t="s">
        <v>9053</v>
      </c>
      <c r="F1174" s="566">
        <v>2</v>
      </c>
      <c r="G1174" s="662">
        <v>29317.871419545725</v>
      </c>
      <c r="H1174" s="662">
        <v>30443.173579093014</v>
      </c>
      <c r="I1174" s="662">
        <v>31568.475738640303</v>
      </c>
      <c r="J1174" s="662">
        <v>32752.986014904811</v>
      </c>
      <c r="K1174" s="566" t="s">
        <v>1939</v>
      </c>
      <c r="L1174" s="549"/>
      <c r="M1174" s="540"/>
      <c r="O1174" s="540"/>
      <c r="S1174" s="550"/>
      <c r="T1174" s="547"/>
      <c r="U1174" s="547"/>
      <c r="V1174" s="547"/>
      <c r="W1174" s="549"/>
    </row>
    <row r="1175" spans="1:23">
      <c r="A1175" s="565">
        <v>1869</v>
      </c>
      <c r="B1175" s="696" t="s">
        <v>6582</v>
      </c>
      <c r="C1175" s="566">
        <f t="shared" si="18"/>
        <v>1869</v>
      </c>
      <c r="D1175" s="700" t="s">
        <v>2226</v>
      </c>
      <c r="E1175" s="701" t="s">
        <v>9054</v>
      </c>
      <c r="F1175" s="566">
        <v>1</v>
      </c>
      <c r="G1175" s="662">
        <v>20123.188866611272</v>
      </c>
      <c r="H1175" s="662">
        <v>20860.193742646989</v>
      </c>
      <c r="I1175" s="662">
        <v>21635.988349000385</v>
      </c>
      <c r="J1175" s="662">
        <v>22452.634924498452</v>
      </c>
      <c r="K1175" s="566" t="s">
        <v>1940</v>
      </c>
      <c r="L1175" s="549"/>
      <c r="M1175" s="540"/>
      <c r="O1175" s="540"/>
      <c r="S1175" s="550"/>
      <c r="T1175" s="547"/>
      <c r="U1175" s="547"/>
      <c r="V1175" s="547"/>
      <c r="W1175" s="549"/>
    </row>
    <row r="1176" spans="1:23">
      <c r="A1176" s="565">
        <v>1870</v>
      </c>
      <c r="B1176" s="696" t="s">
        <v>6583</v>
      </c>
      <c r="C1176" s="566">
        <f t="shared" si="18"/>
        <v>1870</v>
      </c>
      <c r="D1176" s="700" t="s">
        <v>2226</v>
      </c>
      <c r="E1176" s="701" t="s">
        <v>9055</v>
      </c>
      <c r="F1176" s="566">
        <v>1</v>
      </c>
      <c r="G1176" s="662">
        <v>15405.073204738095</v>
      </c>
      <c r="H1176" s="662">
        <v>15965.052881146845</v>
      </c>
      <c r="I1176" s="662">
        <v>16554.525846176883</v>
      </c>
      <c r="J1176" s="662">
        <v>17175.030595461052</v>
      </c>
      <c r="K1176" s="566" t="s">
        <v>1941</v>
      </c>
      <c r="L1176" s="549"/>
      <c r="M1176" s="540"/>
      <c r="O1176" s="540"/>
      <c r="S1176" s="550"/>
      <c r="T1176" s="547"/>
      <c r="U1176" s="547"/>
      <c r="V1176" s="547"/>
      <c r="W1176" s="549"/>
    </row>
    <row r="1177" spans="1:23">
      <c r="A1177" s="565">
        <v>1871</v>
      </c>
      <c r="B1177" s="696" t="s">
        <v>6584</v>
      </c>
      <c r="C1177" s="566">
        <f t="shared" si="18"/>
        <v>1871</v>
      </c>
      <c r="D1177" s="700" t="s">
        <v>2226</v>
      </c>
      <c r="E1177" s="701" t="s">
        <v>9056</v>
      </c>
      <c r="F1177" s="566">
        <v>1</v>
      </c>
      <c r="G1177" s="662">
        <v>17240.558434956787</v>
      </c>
      <c r="H1177" s="662">
        <v>17879.623333684092</v>
      </c>
      <c r="I1177" s="662">
        <v>18552.305998686716</v>
      </c>
      <c r="J1177" s="662">
        <v>19260.406797194584</v>
      </c>
      <c r="K1177" s="566" t="s">
        <v>1942</v>
      </c>
      <c r="L1177" s="549"/>
      <c r="M1177" s="540"/>
      <c r="O1177" s="540"/>
      <c r="S1177" s="550"/>
      <c r="T1177" s="547"/>
      <c r="U1177" s="547"/>
      <c r="V1177" s="547"/>
      <c r="W1177" s="549"/>
    </row>
    <row r="1178" spans="1:23">
      <c r="A1178" s="565">
        <v>1872</v>
      </c>
      <c r="B1178" s="696" t="s">
        <v>6585</v>
      </c>
      <c r="C1178" s="566">
        <f t="shared" si="18"/>
        <v>1872</v>
      </c>
      <c r="D1178" s="700" t="s">
        <v>2226</v>
      </c>
      <c r="E1178" s="701" t="s">
        <v>9057</v>
      </c>
      <c r="F1178" s="566">
        <v>2</v>
      </c>
      <c r="G1178" s="662">
        <v>10834.203913041996</v>
      </c>
      <c r="H1178" s="662">
        <v>11044.100483986022</v>
      </c>
      <c r="I1178" s="662">
        <v>11265.041393457932</v>
      </c>
      <c r="J1178" s="662">
        <v>11497.622169515593</v>
      </c>
      <c r="K1178" s="566" t="s">
        <v>1946</v>
      </c>
      <c r="L1178" s="549"/>
      <c r="M1178" s="540"/>
      <c r="O1178" s="540"/>
      <c r="S1178" s="550"/>
      <c r="T1178" s="547"/>
      <c r="U1178" s="547"/>
      <c r="V1178" s="547"/>
      <c r="W1178" s="549"/>
    </row>
    <row r="1179" spans="1:23">
      <c r="A1179" s="565">
        <v>1873</v>
      </c>
      <c r="B1179" s="696" t="s">
        <v>6586</v>
      </c>
      <c r="C1179" s="566">
        <f t="shared" si="18"/>
        <v>1873</v>
      </c>
      <c r="D1179" s="700" t="s">
        <v>2226</v>
      </c>
      <c r="E1179" s="701" t="s">
        <v>9058</v>
      </c>
      <c r="F1179" s="566">
        <v>2</v>
      </c>
      <c r="G1179" s="662">
        <v>12441.412790897662</v>
      </c>
      <c r="H1179" s="662">
        <v>12695.865688353668</v>
      </c>
      <c r="I1179" s="662">
        <v>12963.717967111883</v>
      </c>
      <c r="J1179" s="662">
        <v>13245.673433058877</v>
      </c>
      <c r="K1179" s="566" t="s">
        <v>1947</v>
      </c>
      <c r="L1179" s="549"/>
      <c r="M1179" s="540"/>
      <c r="O1179" s="540"/>
      <c r="S1179" s="550"/>
      <c r="T1179" s="547"/>
      <c r="U1179" s="547"/>
      <c r="V1179" s="547"/>
      <c r="W1179" s="549"/>
    </row>
    <row r="1180" spans="1:23">
      <c r="A1180" s="565">
        <v>1874</v>
      </c>
      <c r="B1180" s="696" t="s">
        <v>6587</v>
      </c>
      <c r="C1180" s="566">
        <f t="shared" si="18"/>
        <v>1874</v>
      </c>
      <c r="D1180" s="700" t="s">
        <v>2226</v>
      </c>
      <c r="E1180" s="701" t="s">
        <v>9059</v>
      </c>
      <c r="F1180" s="566">
        <v>2</v>
      </c>
      <c r="G1180" s="662">
        <v>13259.944408929874</v>
      </c>
      <c r="H1180" s="662">
        <v>13538.326706529613</v>
      </c>
      <c r="I1180" s="662">
        <v>13831.380649918839</v>
      </c>
      <c r="J1180" s="662">
        <v>14139.864183898484</v>
      </c>
      <c r="K1180" s="566" t="s">
        <v>1948</v>
      </c>
      <c r="L1180" s="549"/>
      <c r="M1180" s="540"/>
      <c r="O1180" s="540"/>
      <c r="S1180" s="550"/>
      <c r="T1180" s="547"/>
      <c r="U1180" s="547"/>
      <c r="V1180" s="547"/>
      <c r="W1180" s="549"/>
    </row>
    <row r="1181" spans="1:23">
      <c r="A1181" s="565">
        <v>1875</v>
      </c>
      <c r="B1181" s="696" t="s">
        <v>6588</v>
      </c>
      <c r="C1181" s="566">
        <f t="shared" si="18"/>
        <v>1875</v>
      </c>
      <c r="D1181" s="700" t="s">
        <v>2226</v>
      </c>
      <c r="E1181" s="701" t="s">
        <v>9060</v>
      </c>
      <c r="F1181" s="566">
        <v>1</v>
      </c>
      <c r="G1181" s="662">
        <v>17986.015570369418</v>
      </c>
      <c r="H1181" s="662">
        <v>18614.483156956572</v>
      </c>
      <c r="I1181" s="662">
        <v>19276.033009970219</v>
      </c>
      <c r="J1181" s="662">
        <v>19972.431426463449</v>
      </c>
      <c r="K1181" s="566" t="s">
        <v>1949</v>
      </c>
      <c r="L1181" s="549"/>
      <c r="M1181" s="540"/>
      <c r="O1181" s="540"/>
      <c r="S1181" s="550"/>
      <c r="T1181" s="547"/>
      <c r="U1181" s="547"/>
      <c r="V1181" s="547"/>
      <c r="W1181" s="549"/>
    </row>
    <row r="1182" spans="1:23">
      <c r="A1182" s="565">
        <v>1876</v>
      </c>
      <c r="B1182" s="696" t="s">
        <v>6589</v>
      </c>
      <c r="C1182" s="566">
        <f t="shared" si="18"/>
        <v>1876</v>
      </c>
      <c r="D1182" s="700" t="s">
        <v>2226</v>
      </c>
      <c r="E1182" s="701" t="s">
        <v>9061</v>
      </c>
      <c r="F1182" s="566">
        <v>1</v>
      </c>
      <c r="G1182" s="662">
        <v>19802.959012173989</v>
      </c>
      <c r="H1182" s="662">
        <v>20504.178942244529</v>
      </c>
      <c r="I1182" s="662">
        <v>21242.300159396866</v>
      </c>
      <c r="J1182" s="662">
        <v>22019.279911716836</v>
      </c>
      <c r="K1182" s="566" t="s">
        <v>1950</v>
      </c>
      <c r="L1182" s="549"/>
      <c r="M1182" s="540"/>
      <c r="O1182" s="540"/>
      <c r="S1182" s="550"/>
      <c r="T1182" s="547"/>
      <c r="U1182" s="547"/>
      <c r="V1182" s="547"/>
      <c r="W1182" s="549"/>
    </row>
    <row r="1183" spans="1:23">
      <c r="A1183" s="565">
        <v>1877</v>
      </c>
      <c r="B1183" s="696" t="s">
        <v>6590</v>
      </c>
      <c r="C1183" s="566">
        <f t="shared" si="18"/>
        <v>1877</v>
      </c>
      <c r="D1183" s="700" t="s">
        <v>2226</v>
      </c>
      <c r="E1183" s="701" t="s">
        <v>9062</v>
      </c>
      <c r="F1183" s="566">
        <v>1</v>
      </c>
      <c r="G1183" s="662">
        <v>21654.421241301276</v>
      </c>
      <c r="H1183" s="662">
        <v>22429.777909842742</v>
      </c>
      <c r="I1183" s="662">
        <v>22429.777909842742</v>
      </c>
      <c r="J1183" s="662">
        <v>23245.902623879498</v>
      </c>
      <c r="K1183" s="566" t="s">
        <v>1951</v>
      </c>
      <c r="L1183" s="549"/>
      <c r="M1183" s="540"/>
      <c r="O1183" s="540"/>
      <c r="S1183" s="550"/>
      <c r="T1183" s="547"/>
      <c r="U1183" s="547"/>
      <c r="V1183" s="547"/>
      <c r="W1183" s="549"/>
    </row>
    <row r="1184" spans="1:23">
      <c r="A1184" s="565">
        <v>1878</v>
      </c>
      <c r="B1184" s="696" t="s">
        <v>6591</v>
      </c>
      <c r="C1184" s="566">
        <f t="shared" si="18"/>
        <v>1878</v>
      </c>
      <c r="D1184" s="700" t="s">
        <v>2226</v>
      </c>
      <c r="E1184" s="701" t="s">
        <v>9063</v>
      </c>
      <c r="F1184" s="566">
        <v>1</v>
      </c>
      <c r="G1184" s="662">
        <v>0</v>
      </c>
      <c r="H1184" s="662">
        <v>0</v>
      </c>
      <c r="I1184" s="662">
        <v>26061.80992345521</v>
      </c>
      <c r="J1184" s="662">
        <v>26988.92492528649</v>
      </c>
      <c r="K1184" s="566" t="s">
        <v>4050</v>
      </c>
      <c r="L1184" s="549"/>
      <c r="M1184" s="540"/>
      <c r="O1184" s="540"/>
      <c r="S1184" s="550"/>
      <c r="T1184" s="547"/>
      <c r="U1184" s="547"/>
      <c r="V1184" s="547"/>
      <c r="W1184" s="549"/>
    </row>
    <row r="1185" spans="1:23">
      <c r="A1185" s="565">
        <v>1879</v>
      </c>
      <c r="B1185" s="696" t="s">
        <v>6592</v>
      </c>
      <c r="C1185" s="566">
        <f t="shared" si="18"/>
        <v>1879</v>
      </c>
      <c r="D1185" s="700" t="s">
        <v>2226</v>
      </c>
      <c r="E1185" s="701" t="s">
        <v>9064</v>
      </c>
      <c r="F1185" s="566">
        <v>1</v>
      </c>
      <c r="G1185" s="662">
        <v>0</v>
      </c>
      <c r="H1185" s="662">
        <v>0</v>
      </c>
      <c r="I1185" s="662">
        <v>0</v>
      </c>
      <c r="J1185" s="662">
        <v>21532.974015103377</v>
      </c>
      <c r="K1185" s="566" t="s">
        <v>4781</v>
      </c>
      <c r="L1185" s="549"/>
      <c r="M1185" s="540"/>
      <c r="O1185" s="540"/>
      <c r="S1185" s="550"/>
      <c r="T1185" s="547"/>
      <c r="U1185" s="547"/>
      <c r="V1185" s="547"/>
      <c r="W1185" s="549"/>
    </row>
    <row r="1186" spans="1:23">
      <c r="A1186" s="565">
        <v>1880</v>
      </c>
      <c r="B1186" s="696" t="s">
        <v>6593</v>
      </c>
      <c r="C1186" s="566">
        <f t="shared" si="18"/>
        <v>1880</v>
      </c>
      <c r="D1186" s="700" t="s">
        <v>2226</v>
      </c>
      <c r="E1186" s="701" t="s">
        <v>9065</v>
      </c>
      <c r="F1186" s="566">
        <v>1</v>
      </c>
      <c r="G1186" s="662">
        <v>0</v>
      </c>
      <c r="H1186" s="662">
        <v>0</v>
      </c>
      <c r="I1186" s="662">
        <v>0</v>
      </c>
      <c r="J1186" s="662">
        <v>24809.276560838054</v>
      </c>
      <c r="K1186" s="566" t="s">
        <v>4782</v>
      </c>
      <c r="L1186" s="549"/>
      <c r="M1186" s="540"/>
      <c r="O1186" s="540"/>
      <c r="S1186" s="550"/>
      <c r="T1186" s="547"/>
      <c r="U1186" s="547"/>
      <c r="V1186" s="547"/>
      <c r="W1186" s="549"/>
    </row>
    <row r="1187" spans="1:23">
      <c r="A1187" s="565">
        <v>1881</v>
      </c>
      <c r="B1187" s="696" t="s">
        <v>6594</v>
      </c>
      <c r="C1187" s="566">
        <f t="shared" si="18"/>
        <v>1881</v>
      </c>
      <c r="D1187" s="700" t="s">
        <v>2226</v>
      </c>
      <c r="E1187" s="701" t="s">
        <v>9066</v>
      </c>
      <c r="F1187" s="566">
        <v>2</v>
      </c>
      <c r="G1187" s="662">
        <v>24010.291721115325</v>
      </c>
      <c r="H1187" s="662">
        <v>24905.662261873382</v>
      </c>
      <c r="I1187" s="662">
        <v>25848.178932789237</v>
      </c>
      <c r="J1187" s="662">
        <v>26840.277327302756</v>
      </c>
      <c r="K1187" s="566" t="s">
        <v>1952</v>
      </c>
      <c r="L1187" s="549"/>
      <c r="M1187" s="540"/>
      <c r="O1187" s="540"/>
      <c r="S1187" s="550"/>
      <c r="T1187" s="547"/>
      <c r="U1187" s="547"/>
      <c r="V1187" s="547"/>
      <c r="W1187" s="549"/>
    </row>
    <row r="1188" spans="1:23">
      <c r="A1188" s="565">
        <v>1882</v>
      </c>
      <c r="B1188" s="696" t="s">
        <v>6595</v>
      </c>
      <c r="C1188" s="566">
        <f t="shared" si="18"/>
        <v>1882</v>
      </c>
      <c r="D1188" s="700" t="s">
        <v>2226</v>
      </c>
      <c r="E1188" s="701" t="s">
        <v>9067</v>
      </c>
      <c r="F1188" s="566">
        <v>1</v>
      </c>
      <c r="G1188" s="662">
        <v>7350.1101691989033</v>
      </c>
      <c r="H1188" s="662">
        <v>7498.261472008041</v>
      </c>
      <c r="I1188" s="662">
        <v>7654.1735783235054</v>
      </c>
      <c r="J1188" s="662">
        <v>7818.333713477532</v>
      </c>
      <c r="K1188" s="566" t="s">
        <v>1953</v>
      </c>
      <c r="L1188" s="549"/>
      <c r="M1188" s="540"/>
      <c r="O1188" s="540"/>
      <c r="S1188" s="550"/>
      <c r="T1188" s="547"/>
      <c r="U1188" s="547"/>
      <c r="V1188" s="547"/>
      <c r="W1188" s="549"/>
    </row>
    <row r="1189" spans="1:23">
      <c r="A1189" s="565">
        <v>1883</v>
      </c>
      <c r="B1189" s="696" t="s">
        <v>6596</v>
      </c>
      <c r="C1189" s="566">
        <f t="shared" si="18"/>
        <v>1883</v>
      </c>
      <c r="D1189" s="700" t="s">
        <v>2226</v>
      </c>
      <c r="E1189" s="701" t="s">
        <v>9068</v>
      </c>
      <c r="F1189" s="566">
        <v>1</v>
      </c>
      <c r="G1189" s="662">
        <v>7725.8470807148133</v>
      </c>
      <c r="H1189" s="662">
        <v>7877.6873753251612</v>
      </c>
      <c r="I1189" s="662">
        <v>8037.4972842985126</v>
      </c>
      <c r="J1189" s="662">
        <v>8205.729231157653</v>
      </c>
      <c r="K1189" s="566" t="s">
        <v>1954</v>
      </c>
      <c r="L1189" s="549"/>
      <c r="M1189" s="540"/>
      <c r="O1189" s="540"/>
      <c r="S1189" s="550"/>
      <c r="T1189" s="547"/>
      <c r="U1189" s="547"/>
      <c r="V1189" s="547"/>
      <c r="W1189" s="549"/>
    </row>
    <row r="1190" spans="1:23">
      <c r="A1190" s="565">
        <v>1884</v>
      </c>
      <c r="B1190" s="696" t="s">
        <v>6597</v>
      </c>
      <c r="C1190" s="566">
        <f t="shared" si="18"/>
        <v>1884</v>
      </c>
      <c r="D1190" s="700" t="s">
        <v>2226</v>
      </c>
      <c r="E1190" s="701" t="s">
        <v>9069</v>
      </c>
      <c r="F1190" s="566">
        <v>2</v>
      </c>
      <c r="G1190" s="662">
        <v>18415.052044452743</v>
      </c>
      <c r="H1190" s="662">
        <v>18813.51445408598</v>
      </c>
      <c r="I1190" s="662">
        <v>19232.928623573567</v>
      </c>
      <c r="J1190" s="662">
        <v>19674.431470116913</v>
      </c>
      <c r="K1190" s="566" t="s">
        <v>1955</v>
      </c>
      <c r="L1190" s="549"/>
      <c r="M1190" s="540"/>
      <c r="O1190" s="540"/>
      <c r="S1190" s="550"/>
      <c r="T1190" s="547"/>
      <c r="U1190" s="547"/>
      <c r="V1190" s="547"/>
      <c r="W1190" s="549"/>
    </row>
    <row r="1191" spans="1:23">
      <c r="A1191" s="565">
        <v>1885</v>
      </c>
      <c r="B1191" s="696" t="s">
        <v>6598</v>
      </c>
      <c r="C1191" s="566">
        <f t="shared" si="18"/>
        <v>1885</v>
      </c>
      <c r="D1191" s="700" t="s">
        <v>2226</v>
      </c>
      <c r="E1191" s="701" t="s">
        <v>9070</v>
      </c>
      <c r="F1191" s="566">
        <v>2</v>
      </c>
      <c r="G1191" s="662">
        <v>18075.68518209417</v>
      </c>
      <c r="H1191" s="662">
        <v>18439.119714141438</v>
      </c>
      <c r="I1191" s="662">
        <v>18821.692352412265</v>
      </c>
      <c r="J1191" s="662">
        <v>19224.404666822153</v>
      </c>
      <c r="K1191" s="566" t="s">
        <v>1956</v>
      </c>
      <c r="L1191" s="549"/>
      <c r="M1191" s="540"/>
      <c r="O1191" s="540"/>
      <c r="S1191" s="550"/>
      <c r="T1191" s="547"/>
      <c r="U1191" s="547"/>
      <c r="V1191" s="547"/>
      <c r="W1191" s="549"/>
    </row>
    <row r="1192" spans="1:23">
      <c r="A1192" s="565">
        <v>1886</v>
      </c>
      <c r="B1192" s="696" t="s">
        <v>6599</v>
      </c>
      <c r="C1192" s="566">
        <f t="shared" si="18"/>
        <v>1886</v>
      </c>
      <c r="D1192" s="700" t="s">
        <v>2226</v>
      </c>
      <c r="E1192" s="701" t="s">
        <v>9071</v>
      </c>
      <c r="F1192" s="566">
        <v>2</v>
      </c>
      <c r="G1192" s="662">
        <v>19443.356834346148</v>
      </c>
      <c r="H1192" s="662">
        <v>19841.277854835862</v>
      </c>
      <c r="I1192" s="662">
        <v>20260.123565722755</v>
      </c>
      <c r="J1192" s="662">
        <v>20701.030884208227</v>
      </c>
      <c r="K1192" s="566" t="s">
        <v>1957</v>
      </c>
      <c r="L1192" s="549"/>
      <c r="M1192" s="540"/>
      <c r="O1192" s="540"/>
      <c r="S1192" s="550"/>
      <c r="T1192" s="547"/>
      <c r="U1192" s="547"/>
      <c r="V1192" s="547"/>
      <c r="W1192" s="549"/>
    </row>
    <row r="1193" spans="1:23">
      <c r="A1193" s="565">
        <v>1887</v>
      </c>
      <c r="B1193" s="696" t="s">
        <v>6600</v>
      </c>
      <c r="C1193" s="566">
        <f t="shared" si="18"/>
        <v>1887</v>
      </c>
      <c r="D1193" s="700" t="s">
        <v>2226</v>
      </c>
      <c r="E1193" s="701" t="s">
        <v>9072</v>
      </c>
      <c r="F1193" s="566">
        <v>2</v>
      </c>
      <c r="G1193" s="662">
        <v>20674.141800037291</v>
      </c>
      <c r="H1193" s="662">
        <v>21077.260156304827</v>
      </c>
      <c r="I1193" s="662">
        <v>21501.573897541304</v>
      </c>
      <c r="J1193" s="662">
        <v>21948.219940948125</v>
      </c>
      <c r="K1193" s="566" t="s">
        <v>3121</v>
      </c>
      <c r="L1193" s="549"/>
      <c r="M1193" s="540"/>
      <c r="O1193" s="540"/>
      <c r="S1193" s="550"/>
      <c r="T1193" s="547"/>
      <c r="U1193" s="547"/>
      <c r="V1193" s="547"/>
      <c r="W1193" s="549"/>
    </row>
    <row r="1194" spans="1:23">
      <c r="A1194" s="565">
        <v>1888</v>
      </c>
      <c r="B1194" s="696" t="s">
        <v>6601</v>
      </c>
      <c r="C1194" s="566">
        <f t="shared" si="18"/>
        <v>1888</v>
      </c>
      <c r="D1194" s="700" t="s">
        <v>2226</v>
      </c>
      <c r="E1194" s="701" t="s">
        <v>9073</v>
      </c>
      <c r="F1194" s="566">
        <v>2</v>
      </c>
      <c r="G1194" s="662">
        <v>0</v>
      </c>
      <c r="H1194" s="662">
        <v>0</v>
      </c>
      <c r="I1194" s="662">
        <v>26975.081116108002</v>
      </c>
      <c r="J1194" s="662">
        <v>27574.804939846068</v>
      </c>
      <c r="K1194" s="566" t="s">
        <v>4051</v>
      </c>
      <c r="L1194" s="549"/>
      <c r="M1194" s="540"/>
      <c r="O1194" s="540"/>
      <c r="S1194" s="550"/>
      <c r="T1194" s="547"/>
      <c r="U1194" s="547"/>
      <c r="V1194" s="547"/>
      <c r="W1194" s="549"/>
    </row>
    <row r="1195" spans="1:23">
      <c r="A1195" s="565">
        <v>1889</v>
      </c>
      <c r="B1195" s="696" t="s">
        <v>6602</v>
      </c>
      <c r="C1195" s="566">
        <f t="shared" si="18"/>
        <v>1889</v>
      </c>
      <c r="D1195" s="700" t="s">
        <v>2226</v>
      </c>
      <c r="E1195" s="701" t="s">
        <v>9074</v>
      </c>
      <c r="F1195" s="566">
        <v>2</v>
      </c>
      <c r="G1195" s="662">
        <v>20575.239458493241</v>
      </c>
      <c r="H1195" s="662">
        <v>21304.989645339054</v>
      </c>
      <c r="I1195" s="662">
        <v>22073.129424023075</v>
      </c>
      <c r="J1195" s="662">
        <v>22881.688455745192</v>
      </c>
      <c r="K1195" s="566" t="s">
        <v>1958</v>
      </c>
      <c r="L1195" s="549"/>
      <c r="M1195" s="540"/>
      <c r="O1195" s="540"/>
      <c r="S1195" s="550"/>
      <c r="T1195" s="547"/>
      <c r="U1195" s="547"/>
      <c r="V1195" s="547"/>
      <c r="W1195" s="549"/>
    </row>
    <row r="1196" spans="1:23">
      <c r="A1196" s="565">
        <v>1890</v>
      </c>
      <c r="B1196" s="696" t="s">
        <v>6603</v>
      </c>
      <c r="C1196" s="566">
        <f t="shared" si="18"/>
        <v>1890</v>
      </c>
      <c r="D1196" s="700" t="s">
        <v>2226</v>
      </c>
      <c r="E1196" s="701" t="s">
        <v>9075</v>
      </c>
      <c r="F1196" s="566">
        <v>2</v>
      </c>
      <c r="G1196" s="662">
        <v>27435.631412274688</v>
      </c>
      <c r="H1196" s="662">
        <v>28467.975088866326</v>
      </c>
      <c r="I1196" s="662">
        <v>29554.597704975422</v>
      </c>
      <c r="J1196" s="662">
        <v>30698.456766921845</v>
      </c>
      <c r="K1196" s="566" t="s">
        <v>1959</v>
      </c>
      <c r="L1196" s="549"/>
      <c r="M1196" s="540"/>
      <c r="O1196" s="540"/>
      <c r="S1196" s="550"/>
      <c r="T1196" s="547"/>
      <c r="U1196" s="547"/>
      <c r="V1196" s="547"/>
      <c r="W1196" s="549"/>
    </row>
    <row r="1197" spans="1:23">
      <c r="A1197" s="565">
        <v>1891</v>
      </c>
      <c r="B1197" s="696" t="s">
        <v>6604</v>
      </c>
      <c r="C1197" s="566">
        <f t="shared" si="18"/>
        <v>1891</v>
      </c>
      <c r="D1197" s="700" t="s">
        <v>2226</v>
      </c>
      <c r="E1197" s="701" t="s">
        <v>9076</v>
      </c>
      <c r="F1197" s="566">
        <v>1</v>
      </c>
      <c r="G1197" s="662">
        <v>0</v>
      </c>
      <c r="H1197" s="662">
        <v>12105.475537218683</v>
      </c>
      <c r="I1197" s="662">
        <v>12362.684894415233</v>
      </c>
      <c r="J1197" s="662">
        <v>12633.446726751758</v>
      </c>
      <c r="K1197" s="566" t="s">
        <v>3122</v>
      </c>
      <c r="L1197" s="549"/>
      <c r="M1197" s="540"/>
      <c r="O1197" s="540"/>
      <c r="S1197" s="550"/>
      <c r="T1197" s="547"/>
      <c r="U1197" s="547"/>
      <c r="V1197" s="547"/>
      <c r="W1197" s="549"/>
    </row>
    <row r="1198" spans="1:23">
      <c r="A1198" s="565">
        <v>1892</v>
      </c>
      <c r="B1198" s="696" t="s">
        <v>6605</v>
      </c>
      <c r="C1198" s="566">
        <f t="shared" si="18"/>
        <v>1892</v>
      </c>
      <c r="D1198" s="700" t="s">
        <v>2226</v>
      </c>
      <c r="E1198" s="701" t="s">
        <v>9077</v>
      </c>
      <c r="F1198" s="566">
        <v>1</v>
      </c>
      <c r="G1198" s="662">
        <v>0</v>
      </c>
      <c r="H1198" s="662">
        <v>13723.609288567259</v>
      </c>
      <c r="I1198" s="662">
        <v>0</v>
      </c>
      <c r="J1198" s="662">
        <v>0</v>
      </c>
      <c r="K1198" s="566" t="s">
        <v>3123</v>
      </c>
      <c r="L1198" s="549"/>
      <c r="M1198" s="540"/>
      <c r="O1198" s="540"/>
      <c r="S1198" s="550"/>
      <c r="T1198" s="547"/>
      <c r="U1198" s="547"/>
      <c r="V1198" s="547"/>
      <c r="W1198" s="549"/>
    </row>
    <row r="1199" spans="1:23">
      <c r="A1199" s="565">
        <v>1893</v>
      </c>
      <c r="B1199" s="696" t="s">
        <v>6606</v>
      </c>
      <c r="C1199" s="566">
        <f t="shared" si="18"/>
        <v>1893</v>
      </c>
      <c r="D1199" s="700" t="s">
        <v>2226</v>
      </c>
      <c r="E1199" s="701" t="s">
        <v>9078</v>
      </c>
      <c r="F1199" s="566">
        <v>1</v>
      </c>
      <c r="G1199" s="662">
        <v>0</v>
      </c>
      <c r="H1199" s="662">
        <v>14706.047637600321</v>
      </c>
      <c r="I1199" s="662">
        <v>0</v>
      </c>
      <c r="J1199" s="662">
        <v>0</v>
      </c>
      <c r="K1199" s="566" t="s">
        <v>3124</v>
      </c>
      <c r="L1199" s="549"/>
      <c r="M1199" s="540"/>
      <c r="O1199" s="540"/>
      <c r="S1199" s="550"/>
      <c r="T1199" s="547"/>
      <c r="U1199" s="547"/>
      <c r="V1199" s="547"/>
      <c r="W1199" s="549"/>
    </row>
    <row r="1200" spans="1:23">
      <c r="A1200" s="565">
        <v>1894</v>
      </c>
      <c r="B1200" s="696" t="s">
        <v>6607</v>
      </c>
      <c r="C1200" s="566">
        <f t="shared" si="18"/>
        <v>1894</v>
      </c>
      <c r="D1200" s="700" t="s">
        <v>2226</v>
      </c>
      <c r="E1200" s="701" t="s">
        <v>9079</v>
      </c>
      <c r="F1200" s="566">
        <v>1</v>
      </c>
      <c r="G1200" s="662">
        <v>0</v>
      </c>
      <c r="H1200" s="662">
        <v>14444.694159450022</v>
      </c>
      <c r="I1200" s="662">
        <v>14788.204655509588</v>
      </c>
      <c r="J1200" s="662">
        <v>15149.838390730391</v>
      </c>
      <c r="K1200" s="566" t="s">
        <v>3125</v>
      </c>
      <c r="L1200" s="549"/>
      <c r="M1200" s="540"/>
      <c r="O1200" s="540"/>
      <c r="S1200" s="550"/>
      <c r="T1200" s="547"/>
      <c r="U1200" s="547"/>
      <c r="V1200" s="547"/>
      <c r="W1200" s="549"/>
    </row>
    <row r="1201" spans="1:23">
      <c r="A1201" s="565">
        <v>1895</v>
      </c>
      <c r="B1201" s="696" t="s">
        <v>6608</v>
      </c>
      <c r="C1201" s="566">
        <f t="shared" si="18"/>
        <v>1895</v>
      </c>
      <c r="D1201" s="700" t="s">
        <v>2226</v>
      </c>
      <c r="E1201" s="701" t="s">
        <v>9080</v>
      </c>
      <c r="F1201" s="566">
        <v>1</v>
      </c>
      <c r="G1201" s="662">
        <v>0</v>
      </c>
      <c r="H1201" s="662">
        <v>15397.264677120484</v>
      </c>
      <c r="I1201" s="662">
        <v>15767.720306536172</v>
      </c>
      <c r="J1201" s="662">
        <v>16157.67360065795</v>
      </c>
      <c r="K1201" s="566" t="s">
        <v>3126</v>
      </c>
      <c r="L1201" s="549"/>
      <c r="M1201" s="540"/>
      <c r="O1201" s="540"/>
      <c r="S1201" s="550"/>
      <c r="T1201" s="547"/>
      <c r="U1201" s="547"/>
      <c r="V1201" s="547"/>
      <c r="W1201" s="549"/>
    </row>
    <row r="1202" spans="1:23">
      <c r="A1202" s="565">
        <v>1896</v>
      </c>
      <c r="B1202" s="696" t="s">
        <v>6609</v>
      </c>
      <c r="C1202" s="566">
        <f t="shared" si="18"/>
        <v>1896</v>
      </c>
      <c r="D1202" s="700" t="s">
        <v>2226</v>
      </c>
      <c r="E1202" s="701" t="s">
        <v>9081</v>
      </c>
      <c r="F1202" s="566">
        <v>1</v>
      </c>
      <c r="G1202" s="662">
        <v>0</v>
      </c>
      <c r="H1202" s="662">
        <v>16732.083138451057</v>
      </c>
      <c r="I1202" s="662">
        <v>17140.25556188836</v>
      </c>
      <c r="J1202" s="662">
        <v>17569.907379887121</v>
      </c>
      <c r="K1202" s="566" t="s">
        <v>3127</v>
      </c>
      <c r="L1202" s="549"/>
      <c r="M1202" s="540"/>
      <c r="O1202" s="540"/>
      <c r="S1202" s="550"/>
      <c r="T1202" s="547"/>
      <c r="U1202" s="547"/>
      <c r="V1202" s="547"/>
      <c r="W1202" s="549"/>
    </row>
    <row r="1203" spans="1:23">
      <c r="A1203" s="565">
        <v>1897</v>
      </c>
      <c r="B1203" s="695" t="s">
        <v>6610</v>
      </c>
      <c r="C1203" s="566">
        <f t="shared" si="18"/>
        <v>1897</v>
      </c>
      <c r="D1203" s="699" t="s">
        <v>2226</v>
      </c>
      <c r="E1203" s="701" t="s">
        <v>9082</v>
      </c>
      <c r="F1203" s="567">
        <v>1</v>
      </c>
      <c r="G1203" s="662">
        <v>0</v>
      </c>
      <c r="H1203" s="662">
        <v>0</v>
      </c>
      <c r="I1203" s="662">
        <v>0</v>
      </c>
      <c r="J1203" s="662">
        <v>15763.613625088856</v>
      </c>
      <c r="K1203" s="568" t="s">
        <v>4783</v>
      </c>
      <c r="L1203" s="549"/>
      <c r="M1203" s="540"/>
      <c r="O1203" s="540"/>
      <c r="S1203" s="550"/>
      <c r="T1203" s="547"/>
      <c r="U1203" s="547"/>
      <c r="V1203" s="547"/>
      <c r="W1203" s="549"/>
    </row>
    <row r="1204" spans="1:23">
      <c r="A1204" s="565">
        <v>1898</v>
      </c>
      <c r="B1204" s="695" t="s">
        <v>6611</v>
      </c>
      <c r="C1204" s="566">
        <f t="shared" si="18"/>
        <v>1898</v>
      </c>
      <c r="D1204" s="699" t="s">
        <v>2226</v>
      </c>
      <c r="E1204" s="701" t="s">
        <v>9083</v>
      </c>
      <c r="F1204" s="567">
        <v>1</v>
      </c>
      <c r="G1204" s="662">
        <v>0</v>
      </c>
      <c r="H1204" s="662">
        <v>0</v>
      </c>
      <c r="I1204" s="662">
        <v>0</v>
      </c>
      <c r="J1204" s="662">
        <v>17896.082747401801</v>
      </c>
      <c r="K1204" s="568" t="s">
        <v>4784</v>
      </c>
      <c r="L1204" s="549"/>
      <c r="M1204" s="540"/>
      <c r="O1204" s="540"/>
      <c r="S1204" s="550"/>
      <c r="T1204" s="547"/>
      <c r="U1204" s="547"/>
      <c r="V1204" s="547"/>
      <c r="W1204" s="549"/>
    </row>
    <row r="1205" spans="1:23">
      <c r="A1205" s="565">
        <v>1899</v>
      </c>
      <c r="B1205" s="696" t="s">
        <v>6612</v>
      </c>
      <c r="C1205" s="566">
        <f t="shared" si="18"/>
        <v>1899</v>
      </c>
      <c r="D1205" s="700" t="s">
        <v>2226</v>
      </c>
      <c r="E1205" s="701" t="s">
        <v>9084</v>
      </c>
      <c r="F1205" s="566">
        <v>1</v>
      </c>
      <c r="G1205" s="662">
        <v>8598.5774687697649</v>
      </c>
      <c r="H1205" s="662">
        <v>8820.6754921895536</v>
      </c>
      <c r="I1205" s="662">
        <v>9042.7735156093404</v>
      </c>
      <c r="J1205" s="662">
        <v>9276.5550148829825</v>
      </c>
      <c r="K1205" s="566" t="s">
        <v>1960</v>
      </c>
      <c r="L1205" s="549"/>
      <c r="M1205" s="540"/>
      <c r="O1205" s="540"/>
      <c r="S1205" s="550"/>
      <c r="T1205" s="547"/>
      <c r="U1205" s="547"/>
      <c r="V1205" s="547"/>
      <c r="W1205" s="549"/>
    </row>
    <row r="1206" spans="1:23">
      <c r="A1206" s="565">
        <v>1900</v>
      </c>
      <c r="B1206" s="696" t="s">
        <v>6613</v>
      </c>
      <c r="C1206" s="566">
        <f t="shared" si="18"/>
        <v>1900</v>
      </c>
      <c r="D1206" s="700" t="s">
        <v>2226</v>
      </c>
      <c r="E1206" s="701" t="s">
        <v>9085</v>
      </c>
      <c r="F1206" s="566">
        <v>1</v>
      </c>
      <c r="G1206" s="662">
        <v>9441.9063034507635</v>
      </c>
      <c r="H1206" s="662">
        <v>9693.679608991346</v>
      </c>
      <c r="I1206" s="662">
        <v>9945.4529145319357</v>
      </c>
      <c r="J1206" s="662">
        <v>10210.477446679917</v>
      </c>
      <c r="K1206" s="566" t="s">
        <v>1961</v>
      </c>
      <c r="L1206" s="549"/>
      <c r="M1206" s="540"/>
      <c r="O1206" s="540"/>
      <c r="S1206" s="550"/>
      <c r="T1206" s="547"/>
      <c r="U1206" s="547"/>
      <c r="V1206" s="547"/>
      <c r="W1206" s="549"/>
    </row>
    <row r="1207" spans="1:23">
      <c r="A1207" s="565">
        <v>1901</v>
      </c>
      <c r="B1207" s="696" t="s">
        <v>6614</v>
      </c>
      <c r="C1207" s="566">
        <f t="shared" si="18"/>
        <v>1901</v>
      </c>
      <c r="D1207" s="700" t="s">
        <v>2226</v>
      </c>
      <c r="E1207" s="701" t="s">
        <v>9086</v>
      </c>
      <c r="F1207" s="566">
        <v>1</v>
      </c>
      <c r="G1207" s="662">
        <v>10290.539093066862</v>
      </c>
      <c r="H1207" s="662">
        <v>10572.174317722716</v>
      </c>
      <c r="I1207" s="662">
        <v>10853.809542378571</v>
      </c>
      <c r="J1207" s="662">
        <v>11150.26374439537</v>
      </c>
      <c r="K1207" s="566" t="s">
        <v>1962</v>
      </c>
      <c r="L1207" s="549"/>
      <c r="M1207" s="540"/>
      <c r="O1207" s="540"/>
      <c r="S1207" s="550"/>
      <c r="T1207" s="547"/>
      <c r="U1207" s="547"/>
      <c r="V1207" s="547"/>
      <c r="W1207" s="549"/>
    </row>
    <row r="1208" spans="1:23">
      <c r="A1208" s="565">
        <v>1902</v>
      </c>
      <c r="B1208" s="696" t="s">
        <v>6615</v>
      </c>
      <c r="C1208" s="566">
        <f t="shared" si="18"/>
        <v>1902</v>
      </c>
      <c r="D1208" s="700" t="s">
        <v>2226</v>
      </c>
      <c r="E1208" s="701" t="s">
        <v>9087</v>
      </c>
      <c r="F1208" s="566">
        <v>1</v>
      </c>
      <c r="G1208" s="662">
        <v>0</v>
      </c>
      <c r="H1208" s="662">
        <v>0</v>
      </c>
      <c r="I1208" s="662">
        <v>0</v>
      </c>
      <c r="J1208" s="662">
        <v>8513.7141898081554</v>
      </c>
      <c r="K1208" s="566" t="s">
        <v>4785</v>
      </c>
      <c r="L1208" s="549"/>
      <c r="M1208" s="540"/>
      <c r="O1208" s="540"/>
      <c r="S1208" s="550"/>
      <c r="T1208" s="547"/>
      <c r="U1208" s="547"/>
      <c r="V1208" s="547"/>
      <c r="W1208" s="549"/>
    </row>
    <row r="1209" spans="1:23">
      <c r="A1209" s="565">
        <v>1903</v>
      </c>
      <c r="B1209" s="696" t="s">
        <v>6616</v>
      </c>
      <c r="C1209" s="566">
        <f t="shared" si="18"/>
        <v>1903</v>
      </c>
      <c r="D1209" s="700" t="s">
        <v>2226</v>
      </c>
      <c r="E1209" s="701" t="s">
        <v>9088</v>
      </c>
      <c r="F1209" s="566">
        <v>1</v>
      </c>
      <c r="G1209" s="662">
        <v>0</v>
      </c>
      <c r="H1209" s="662">
        <v>0</v>
      </c>
      <c r="I1209" s="662">
        <v>0</v>
      </c>
      <c r="J1209" s="662">
        <v>8884.9910352652005</v>
      </c>
      <c r="K1209" s="566" t="s">
        <v>4786</v>
      </c>
      <c r="L1209" s="549"/>
      <c r="M1209" s="540"/>
      <c r="O1209" s="540"/>
      <c r="S1209" s="550"/>
      <c r="T1209" s="547"/>
      <c r="U1209" s="547"/>
      <c r="V1209" s="547"/>
      <c r="W1209" s="549"/>
    </row>
    <row r="1210" spans="1:23">
      <c r="A1210" s="565">
        <v>1904</v>
      </c>
      <c r="B1210" s="696" t="s">
        <v>6617</v>
      </c>
      <c r="C1210" s="566">
        <f t="shared" si="18"/>
        <v>1904</v>
      </c>
      <c r="D1210" s="700" t="s">
        <v>2226</v>
      </c>
      <c r="E1210" s="701" t="s">
        <v>9089</v>
      </c>
      <c r="F1210" s="566">
        <v>1</v>
      </c>
      <c r="G1210" s="662">
        <v>0</v>
      </c>
      <c r="H1210" s="662">
        <v>0</v>
      </c>
      <c r="I1210" s="662">
        <v>0</v>
      </c>
      <c r="J1210" s="662">
        <v>11574.096187361223</v>
      </c>
      <c r="K1210" s="566" t="s">
        <v>4787</v>
      </c>
      <c r="L1210" s="549"/>
      <c r="M1210" s="540"/>
      <c r="O1210" s="540"/>
      <c r="S1210" s="550"/>
      <c r="T1210" s="547"/>
      <c r="U1210" s="547"/>
      <c r="V1210" s="547"/>
      <c r="W1210" s="549"/>
    </row>
    <row r="1211" spans="1:23">
      <c r="A1211" s="565">
        <v>1905</v>
      </c>
      <c r="B1211" s="696" t="s">
        <v>6618</v>
      </c>
      <c r="C1211" s="566">
        <f t="shared" si="18"/>
        <v>1905</v>
      </c>
      <c r="D1211" s="700" t="s">
        <v>2226</v>
      </c>
      <c r="E1211" s="701" t="s">
        <v>9090</v>
      </c>
      <c r="F1211" s="566">
        <v>1</v>
      </c>
      <c r="G1211" s="662">
        <v>0</v>
      </c>
      <c r="H1211" s="662">
        <v>0</v>
      </c>
      <c r="I1211" s="662">
        <v>0</v>
      </c>
      <c r="J1211" s="662">
        <v>11648.35155645263</v>
      </c>
      <c r="K1211" s="566" t="s">
        <v>4788</v>
      </c>
      <c r="L1211" s="549"/>
      <c r="M1211" s="540"/>
      <c r="O1211" s="540"/>
      <c r="S1211" s="550"/>
      <c r="T1211" s="547"/>
      <c r="U1211" s="547"/>
      <c r="V1211" s="547"/>
      <c r="W1211" s="549"/>
    </row>
    <row r="1212" spans="1:23">
      <c r="A1212" s="565">
        <v>1906</v>
      </c>
      <c r="B1212" s="696" t="s">
        <v>6619</v>
      </c>
      <c r="C1212" s="566">
        <f t="shared" si="18"/>
        <v>1906</v>
      </c>
      <c r="D1212" s="700" t="s">
        <v>2226</v>
      </c>
      <c r="E1212" s="701" t="s">
        <v>9091</v>
      </c>
      <c r="F1212" s="566">
        <v>1</v>
      </c>
      <c r="G1212" s="662">
        <v>0</v>
      </c>
      <c r="H1212" s="662">
        <v>0</v>
      </c>
      <c r="I1212" s="662">
        <v>0</v>
      </c>
      <c r="J1212" s="662">
        <v>10942.925550084245</v>
      </c>
      <c r="K1212" s="566" t="s">
        <v>4789</v>
      </c>
      <c r="L1212" s="549"/>
      <c r="M1212" s="540"/>
      <c r="O1212" s="540"/>
      <c r="S1212" s="550"/>
      <c r="T1212" s="547"/>
      <c r="U1212" s="547"/>
      <c r="V1212" s="547"/>
      <c r="W1212" s="549"/>
    </row>
    <row r="1213" spans="1:23">
      <c r="A1213" s="565">
        <v>1907</v>
      </c>
      <c r="B1213" s="696" t="s">
        <v>6620</v>
      </c>
      <c r="C1213" s="566">
        <f t="shared" si="18"/>
        <v>1907</v>
      </c>
      <c r="D1213" s="700" t="s">
        <v>2226</v>
      </c>
      <c r="E1213" s="701" t="s">
        <v>9092</v>
      </c>
      <c r="F1213" s="566">
        <v>1</v>
      </c>
      <c r="G1213" s="662">
        <v>19084.15933025999</v>
      </c>
      <c r="H1213" s="662">
        <v>19878.487918252373</v>
      </c>
      <c r="I1213" s="662">
        <v>20631.028412380456</v>
      </c>
      <c r="J1213" s="662">
        <v>21423.188750219502</v>
      </c>
      <c r="K1213" s="566" t="s">
        <v>1963</v>
      </c>
      <c r="L1213" s="549"/>
      <c r="M1213" s="540"/>
      <c r="O1213" s="540"/>
      <c r="S1213" s="550"/>
      <c r="T1213" s="547"/>
      <c r="U1213" s="547"/>
      <c r="V1213" s="547"/>
      <c r="W1213" s="549"/>
    </row>
    <row r="1214" spans="1:23">
      <c r="A1214" s="565">
        <v>1908</v>
      </c>
      <c r="B1214" s="696" t="s">
        <v>6621</v>
      </c>
      <c r="C1214" s="566">
        <f t="shared" si="18"/>
        <v>1908</v>
      </c>
      <c r="D1214" s="700" t="s">
        <v>2226</v>
      </c>
      <c r="E1214" s="701" t="s">
        <v>9093</v>
      </c>
      <c r="F1214" s="566">
        <v>1</v>
      </c>
      <c r="G1214" s="662">
        <v>19355.98053235274</v>
      </c>
      <c r="H1214" s="662">
        <v>20092.94904810685</v>
      </c>
      <c r="I1214" s="662">
        <v>20868.670107510607</v>
      </c>
      <c r="J1214" s="662">
        <v>21685.272537987268</v>
      </c>
      <c r="K1214" s="566" t="s">
        <v>1964</v>
      </c>
      <c r="L1214" s="549"/>
      <c r="M1214" s="540"/>
      <c r="O1214" s="540"/>
      <c r="S1214" s="550"/>
      <c r="T1214" s="547"/>
      <c r="U1214" s="547"/>
      <c r="V1214" s="547"/>
      <c r="W1214" s="549"/>
    </row>
    <row r="1215" spans="1:23">
      <c r="A1215" s="565">
        <v>1909</v>
      </c>
      <c r="B1215" s="695" t="s">
        <v>6622</v>
      </c>
      <c r="C1215" s="566">
        <f t="shared" si="18"/>
        <v>1909</v>
      </c>
      <c r="D1215" s="699" t="s">
        <v>2226</v>
      </c>
      <c r="E1215" s="701" t="s">
        <v>9094</v>
      </c>
      <c r="F1215" s="567">
        <v>1</v>
      </c>
      <c r="G1215" s="662">
        <v>21809.626310381249</v>
      </c>
      <c r="H1215" s="662">
        <v>22734.049907573841</v>
      </c>
      <c r="I1215" s="662">
        <v>23609.825855871561</v>
      </c>
      <c r="J1215" s="662">
        <v>24531.72639834027</v>
      </c>
      <c r="K1215" s="568" t="s">
        <v>1965</v>
      </c>
      <c r="L1215" s="549"/>
      <c r="M1215" s="540"/>
      <c r="O1215" s="540"/>
      <c r="S1215" s="550"/>
      <c r="T1215" s="547"/>
      <c r="U1215" s="547"/>
      <c r="V1215" s="547"/>
      <c r="W1215" s="549"/>
    </row>
    <row r="1216" spans="1:23">
      <c r="A1216" s="565">
        <v>1910</v>
      </c>
      <c r="B1216" s="696" t="s">
        <v>6623</v>
      </c>
      <c r="C1216" s="566">
        <f t="shared" si="18"/>
        <v>1910</v>
      </c>
      <c r="D1216" s="700" t="s">
        <v>2226</v>
      </c>
      <c r="E1216" s="701" t="s">
        <v>9095</v>
      </c>
      <c r="F1216" s="566">
        <v>1</v>
      </c>
      <c r="G1216" s="662">
        <v>25558.476472010276</v>
      </c>
      <c r="H1216" s="662">
        <v>26565.687802330274</v>
      </c>
      <c r="I1216" s="662">
        <v>27625.922704581855</v>
      </c>
      <c r="J1216" s="662">
        <v>28741.940769869292</v>
      </c>
      <c r="K1216" s="566" t="s">
        <v>1966</v>
      </c>
      <c r="L1216" s="549"/>
      <c r="M1216" s="540"/>
      <c r="O1216" s="540"/>
      <c r="S1216" s="550"/>
      <c r="T1216" s="547"/>
      <c r="U1216" s="547"/>
      <c r="V1216" s="547"/>
      <c r="W1216" s="549"/>
    </row>
    <row r="1217" spans="1:23">
      <c r="A1217" s="565">
        <v>1911</v>
      </c>
      <c r="B1217" s="696" t="s">
        <v>6624</v>
      </c>
      <c r="C1217" s="566">
        <f t="shared" si="18"/>
        <v>1911</v>
      </c>
      <c r="D1217" s="700" t="s">
        <v>2226</v>
      </c>
      <c r="E1217" s="701" t="s">
        <v>9096</v>
      </c>
      <c r="F1217" s="566">
        <v>1</v>
      </c>
      <c r="G1217" s="662">
        <v>36899.77218649078</v>
      </c>
      <c r="H1217" s="662">
        <v>38473.133343212015</v>
      </c>
      <c r="I1217" s="662">
        <v>40046.494499933251</v>
      </c>
      <c r="J1217" s="662">
        <v>41702.682812511935</v>
      </c>
      <c r="K1217" s="566" t="s">
        <v>1967</v>
      </c>
      <c r="L1217" s="549"/>
      <c r="M1217" s="540"/>
      <c r="O1217" s="540"/>
      <c r="S1217" s="550"/>
      <c r="T1217" s="547"/>
      <c r="U1217" s="547"/>
      <c r="V1217" s="547"/>
      <c r="W1217" s="549"/>
    </row>
    <row r="1218" spans="1:23">
      <c r="A1218" s="565">
        <v>1912</v>
      </c>
      <c r="B1218" s="696" t="s">
        <v>6625</v>
      </c>
      <c r="C1218" s="566">
        <f t="shared" si="18"/>
        <v>1912</v>
      </c>
      <c r="D1218" s="700" t="s">
        <v>2226</v>
      </c>
      <c r="E1218" s="701" t="s">
        <v>9097</v>
      </c>
      <c r="F1218" s="566">
        <v>1</v>
      </c>
      <c r="G1218" s="662">
        <v>23795.327558825738</v>
      </c>
      <c r="H1218" s="662">
        <v>24424.32568610266</v>
      </c>
      <c r="I1218" s="662">
        <v>25086.418671259351</v>
      </c>
      <c r="J1218" s="662">
        <v>25783.368962348577</v>
      </c>
      <c r="K1218" s="566" t="s">
        <v>1968</v>
      </c>
      <c r="L1218" s="549"/>
      <c r="M1218" s="540"/>
      <c r="O1218" s="540"/>
      <c r="S1218" s="550"/>
      <c r="T1218" s="547"/>
      <c r="U1218" s="547"/>
      <c r="V1218" s="547"/>
      <c r="W1218" s="549"/>
    </row>
    <row r="1219" spans="1:23">
      <c r="A1219" s="565">
        <v>1913</v>
      </c>
      <c r="B1219" s="696" t="s">
        <v>6626</v>
      </c>
      <c r="C1219" s="566">
        <f t="shared" si="18"/>
        <v>1913</v>
      </c>
      <c r="D1219" s="700" t="s">
        <v>2226</v>
      </c>
      <c r="E1219" s="701" t="s">
        <v>9098</v>
      </c>
      <c r="F1219" s="566">
        <v>1</v>
      </c>
      <c r="G1219" s="662">
        <v>25400.612128625409</v>
      </c>
      <c r="H1219" s="662">
        <v>26076.720772106502</v>
      </c>
      <c r="I1219" s="662">
        <v>26788.41408103396</v>
      </c>
      <c r="J1219" s="662">
        <v>27537.56640492423</v>
      </c>
      <c r="K1219" s="566" t="s">
        <v>1969</v>
      </c>
      <c r="L1219" s="549"/>
      <c r="M1219" s="540"/>
      <c r="O1219" s="540"/>
      <c r="S1219" s="550"/>
      <c r="T1219" s="547"/>
      <c r="U1219" s="547"/>
      <c r="V1219" s="547"/>
      <c r="W1219" s="549"/>
    </row>
    <row r="1220" spans="1:23">
      <c r="A1220" s="565">
        <v>1914</v>
      </c>
      <c r="B1220" s="696" t="s">
        <v>6627</v>
      </c>
      <c r="C1220" s="566">
        <f t="shared" si="18"/>
        <v>1914</v>
      </c>
      <c r="D1220" s="700" t="s">
        <v>2226</v>
      </c>
      <c r="E1220" s="701" t="s">
        <v>9099</v>
      </c>
      <c r="F1220" s="566">
        <v>1</v>
      </c>
      <c r="G1220" s="662">
        <v>26403.914984750212</v>
      </c>
      <c r="H1220" s="662">
        <v>27109.481688541855</v>
      </c>
      <c r="I1220" s="662">
        <v>27852.171702905314</v>
      </c>
      <c r="J1220" s="662">
        <v>28633.971278820667</v>
      </c>
      <c r="K1220" s="566" t="s">
        <v>1970</v>
      </c>
      <c r="L1220" s="549"/>
      <c r="M1220" s="540"/>
      <c r="O1220" s="540"/>
      <c r="S1220" s="550"/>
      <c r="T1220" s="547"/>
      <c r="U1220" s="547"/>
      <c r="V1220" s="547"/>
      <c r="W1220" s="549"/>
    </row>
    <row r="1221" spans="1:23">
      <c r="A1221" s="565">
        <v>1915</v>
      </c>
      <c r="B1221" s="695" t="s">
        <v>6628</v>
      </c>
      <c r="C1221" s="566">
        <f t="shared" si="18"/>
        <v>1915</v>
      </c>
      <c r="D1221" s="699" t="s">
        <v>2226</v>
      </c>
      <c r="E1221" s="701" t="s">
        <v>9100</v>
      </c>
      <c r="F1221" s="567">
        <v>1</v>
      </c>
      <c r="G1221" s="662">
        <v>29804.448821773411</v>
      </c>
      <c r="H1221" s="662">
        <v>30628.043594368708</v>
      </c>
      <c r="I1221" s="662">
        <v>31494.972208769384</v>
      </c>
      <c r="J1221" s="662">
        <v>32407.528644980612</v>
      </c>
      <c r="K1221" s="568" t="s">
        <v>1971</v>
      </c>
      <c r="L1221" s="549"/>
      <c r="M1221" s="540"/>
      <c r="O1221" s="540"/>
      <c r="S1221" s="550"/>
      <c r="T1221" s="547"/>
      <c r="U1221" s="547"/>
      <c r="V1221" s="547"/>
      <c r="W1221" s="549"/>
    </row>
    <row r="1222" spans="1:23">
      <c r="A1222" s="565">
        <v>1916</v>
      </c>
      <c r="B1222" s="695" t="s">
        <v>6629</v>
      </c>
      <c r="C1222" s="566">
        <f t="shared" si="18"/>
        <v>1916</v>
      </c>
      <c r="D1222" s="699" t="s">
        <v>2226</v>
      </c>
      <c r="E1222" s="701" t="s">
        <v>9101</v>
      </c>
      <c r="F1222" s="567">
        <v>2</v>
      </c>
      <c r="G1222" s="662">
        <v>12120.447620007475</v>
      </c>
      <c r="H1222" s="662">
        <v>12340.386959563864</v>
      </c>
      <c r="I1222" s="662">
        <v>12560.326299120255</v>
      </c>
      <c r="J1222" s="662">
        <v>12791.851366348043</v>
      </c>
      <c r="K1222" s="568" t="s">
        <v>1972</v>
      </c>
      <c r="L1222" s="549"/>
      <c r="M1222" s="540"/>
      <c r="O1222" s="540"/>
      <c r="S1222" s="550"/>
      <c r="T1222" s="547"/>
      <c r="U1222" s="547"/>
      <c r="V1222" s="547"/>
      <c r="W1222" s="549"/>
    </row>
    <row r="1223" spans="1:23">
      <c r="A1223" s="565">
        <v>1917</v>
      </c>
      <c r="B1223" s="695" t="s">
        <v>6630</v>
      </c>
      <c r="C1223" s="566">
        <f t="shared" si="18"/>
        <v>1917</v>
      </c>
      <c r="D1223" s="699" t="s">
        <v>2226</v>
      </c>
      <c r="E1223" s="701" t="s">
        <v>9102</v>
      </c>
      <c r="F1223" s="567">
        <v>2</v>
      </c>
      <c r="G1223" s="662">
        <v>9878.882333249323</v>
      </c>
      <c r="H1223" s="662">
        <v>10062.06134996047</v>
      </c>
      <c r="I1223" s="662">
        <v>10254.877093426336</v>
      </c>
      <c r="J1223" s="662">
        <v>10457.843883333266</v>
      </c>
      <c r="K1223" s="568" t="s">
        <v>1973</v>
      </c>
      <c r="L1223" s="549"/>
      <c r="M1223" s="540"/>
      <c r="O1223" s="540"/>
      <c r="S1223" s="550"/>
      <c r="T1223" s="547"/>
      <c r="U1223" s="547"/>
      <c r="V1223" s="547"/>
      <c r="W1223" s="549"/>
    </row>
    <row r="1224" spans="1:23">
      <c r="A1224" s="565">
        <v>1918</v>
      </c>
      <c r="B1224" s="696" t="s">
        <v>6631</v>
      </c>
      <c r="C1224" s="566">
        <f t="shared" si="18"/>
        <v>1918</v>
      </c>
      <c r="D1224" s="700" t="s">
        <v>2226</v>
      </c>
      <c r="E1224" s="701" t="s">
        <v>9103</v>
      </c>
      <c r="F1224" s="566">
        <v>2</v>
      </c>
      <c r="G1224" s="662">
        <v>11578.982419239384</v>
      </c>
      <c r="H1224" s="662">
        <v>11811.88802878316</v>
      </c>
      <c r="I1224" s="662">
        <v>12057.029032970562</v>
      </c>
      <c r="J1224" s="662">
        <v>12315.082168231</v>
      </c>
      <c r="K1224" s="566" t="s">
        <v>1974</v>
      </c>
      <c r="L1224" s="549"/>
      <c r="M1224" s="540"/>
      <c r="O1224" s="540"/>
      <c r="S1224" s="550"/>
      <c r="T1224" s="547"/>
      <c r="U1224" s="547"/>
      <c r="V1224" s="547"/>
      <c r="W1224" s="549"/>
    </row>
    <row r="1225" spans="1:23">
      <c r="A1225" s="565">
        <v>1919</v>
      </c>
      <c r="B1225" s="696" t="s">
        <v>6632</v>
      </c>
      <c r="C1225" s="566">
        <f t="shared" ref="C1225:C1288" si="19">A1225</f>
        <v>1919</v>
      </c>
      <c r="D1225" s="700" t="s">
        <v>2226</v>
      </c>
      <c r="E1225" s="701" t="s">
        <v>9104</v>
      </c>
      <c r="F1225" s="566">
        <v>2</v>
      </c>
      <c r="G1225" s="662">
        <v>11956.716268564078</v>
      </c>
      <c r="H1225" s="662">
        <v>12200.666216635731</v>
      </c>
      <c r="I1225" s="662">
        <v>12457.447087408887</v>
      </c>
      <c r="J1225" s="662">
        <v>12727.735617312954</v>
      </c>
      <c r="K1225" s="566" t="s">
        <v>1975</v>
      </c>
      <c r="L1225" s="549"/>
      <c r="M1225" s="540"/>
      <c r="O1225" s="540"/>
      <c r="S1225" s="550"/>
      <c r="T1225" s="547"/>
      <c r="U1225" s="547"/>
      <c r="V1225" s="547"/>
      <c r="W1225" s="549"/>
    </row>
    <row r="1226" spans="1:23">
      <c r="A1226" s="565">
        <v>1920</v>
      </c>
      <c r="B1226" s="696" t="s">
        <v>6633</v>
      </c>
      <c r="C1226" s="566">
        <f t="shared" si="19"/>
        <v>1920</v>
      </c>
      <c r="D1226" s="700" t="s">
        <v>2226</v>
      </c>
      <c r="E1226" s="701" t="s">
        <v>9105</v>
      </c>
      <c r="F1226" s="566">
        <v>2</v>
      </c>
      <c r="G1226" s="662">
        <v>10603.007558407533</v>
      </c>
      <c r="H1226" s="662">
        <v>10807.354890630446</v>
      </c>
      <c r="I1226" s="662">
        <v>11022.475866809478</v>
      </c>
      <c r="J1226" s="662">
        <v>11248.911876088147</v>
      </c>
      <c r="K1226" s="566" t="s">
        <v>1976</v>
      </c>
      <c r="L1226" s="549"/>
      <c r="M1226" s="540"/>
      <c r="O1226" s="540"/>
      <c r="S1226" s="550"/>
      <c r="T1226" s="547"/>
      <c r="U1226" s="547"/>
      <c r="V1226" s="547"/>
      <c r="W1226" s="549"/>
    </row>
    <row r="1227" spans="1:23">
      <c r="A1227" s="565">
        <v>1921</v>
      </c>
      <c r="B1227" s="696" t="s">
        <v>6634</v>
      </c>
      <c r="C1227" s="566">
        <f t="shared" si="19"/>
        <v>1921</v>
      </c>
      <c r="D1227" s="700" t="s">
        <v>2226</v>
      </c>
      <c r="E1227" s="701" t="s">
        <v>9106</v>
      </c>
      <c r="F1227" s="566">
        <v>1</v>
      </c>
      <c r="G1227" s="662">
        <v>28754.196858432777</v>
      </c>
      <c r="H1227" s="662">
        <v>29440.522394947075</v>
      </c>
      <c r="I1227" s="662">
        <v>30162.964611194056</v>
      </c>
      <c r="J1227" s="662">
        <v>30923.424385054408</v>
      </c>
      <c r="K1227" s="566" t="s">
        <v>1977</v>
      </c>
      <c r="L1227" s="549"/>
      <c r="M1227" s="540"/>
      <c r="O1227" s="540"/>
      <c r="S1227" s="550"/>
      <c r="T1227" s="547"/>
      <c r="U1227" s="547"/>
      <c r="V1227" s="547"/>
      <c r="W1227" s="549"/>
    </row>
    <row r="1228" spans="1:23">
      <c r="A1228" s="565">
        <v>1922</v>
      </c>
      <c r="B1228" s="696" t="s">
        <v>6635</v>
      </c>
      <c r="C1228" s="566">
        <f t="shared" si="19"/>
        <v>1922</v>
      </c>
      <c r="D1228" s="700" t="s">
        <v>2226</v>
      </c>
      <c r="E1228" s="701" t="s">
        <v>9107</v>
      </c>
      <c r="F1228" s="566">
        <v>1</v>
      </c>
      <c r="G1228" s="662">
        <v>26794.785625181059</v>
      </c>
      <c r="H1228" s="662">
        <v>27412.67955799132</v>
      </c>
      <c r="I1228" s="662">
        <v>28063.078502560984</v>
      </c>
      <c r="J1228" s="662">
        <v>28747.720404380983</v>
      </c>
      <c r="K1228" s="566" t="s">
        <v>1978</v>
      </c>
      <c r="L1228" s="549"/>
      <c r="M1228" s="540"/>
      <c r="O1228" s="540"/>
      <c r="S1228" s="550"/>
      <c r="T1228" s="547"/>
      <c r="U1228" s="547"/>
      <c r="V1228" s="547"/>
      <c r="W1228" s="549"/>
    </row>
    <row r="1229" spans="1:23">
      <c r="A1229" s="565">
        <v>1923</v>
      </c>
      <c r="B1229" s="696" t="s">
        <v>6636</v>
      </c>
      <c r="C1229" s="566">
        <f t="shared" si="19"/>
        <v>1923</v>
      </c>
      <c r="D1229" s="700" t="s">
        <v>2226</v>
      </c>
      <c r="E1229" s="701" t="s">
        <v>9108</v>
      </c>
      <c r="F1229" s="566">
        <v>1</v>
      </c>
      <c r="G1229" s="662">
        <v>0</v>
      </c>
      <c r="H1229" s="662">
        <v>0</v>
      </c>
      <c r="I1229" s="662">
        <v>15688.296341166053</v>
      </c>
      <c r="J1229" s="662">
        <v>16041.025074490326</v>
      </c>
      <c r="K1229" s="566" t="s">
        <v>4052</v>
      </c>
      <c r="L1229" s="549"/>
      <c r="M1229" s="540"/>
      <c r="O1229" s="540"/>
      <c r="S1229" s="550"/>
      <c r="T1229" s="547"/>
      <c r="U1229" s="547"/>
      <c r="V1229" s="547"/>
      <c r="W1229" s="549"/>
    </row>
    <row r="1230" spans="1:23">
      <c r="A1230" s="565">
        <v>1924</v>
      </c>
      <c r="B1230" s="696" t="s">
        <v>6637</v>
      </c>
      <c r="C1230" s="566">
        <f t="shared" si="19"/>
        <v>1924</v>
      </c>
      <c r="D1230" s="700" t="s">
        <v>2226</v>
      </c>
      <c r="E1230" s="701" t="s">
        <v>9109</v>
      </c>
      <c r="F1230" s="566">
        <v>1</v>
      </c>
      <c r="G1230" s="662">
        <v>0</v>
      </c>
      <c r="H1230" s="662">
        <v>0</v>
      </c>
      <c r="I1230" s="662">
        <v>17786.218437259566</v>
      </c>
      <c r="J1230" s="662">
        <v>18194.172518176059</v>
      </c>
      <c r="K1230" s="566" t="s">
        <v>4053</v>
      </c>
      <c r="L1230" s="549"/>
      <c r="M1230" s="540"/>
      <c r="O1230" s="540"/>
      <c r="S1230" s="550"/>
      <c r="T1230" s="547"/>
      <c r="U1230" s="547"/>
      <c r="V1230" s="547"/>
      <c r="W1230" s="549"/>
    </row>
    <row r="1231" spans="1:23">
      <c r="A1231" s="565">
        <v>1925</v>
      </c>
      <c r="B1231" s="695" t="s">
        <v>6638</v>
      </c>
      <c r="C1231" s="566">
        <f t="shared" si="19"/>
        <v>1925</v>
      </c>
      <c r="D1231" s="699" t="s">
        <v>2226</v>
      </c>
      <c r="E1231" s="701" t="s">
        <v>9110</v>
      </c>
      <c r="F1231" s="567">
        <v>1</v>
      </c>
      <c r="G1231" s="662">
        <v>0</v>
      </c>
      <c r="H1231" s="662">
        <v>0</v>
      </c>
      <c r="I1231" s="662">
        <v>19267.401989441256</v>
      </c>
      <c r="J1231" s="662">
        <v>19714.34527811869</v>
      </c>
      <c r="K1231" s="568" t="s">
        <v>4054</v>
      </c>
      <c r="L1231" s="549"/>
      <c r="M1231" s="540"/>
      <c r="O1231" s="540"/>
      <c r="S1231" s="550"/>
      <c r="T1231" s="547"/>
      <c r="U1231" s="547"/>
      <c r="V1231" s="547"/>
      <c r="W1231" s="549"/>
    </row>
    <row r="1232" spans="1:23">
      <c r="A1232" s="565">
        <v>1926</v>
      </c>
      <c r="B1232" s="696" t="s">
        <v>6639</v>
      </c>
      <c r="C1232" s="566">
        <f t="shared" si="19"/>
        <v>1926</v>
      </c>
      <c r="D1232" s="700" t="s">
        <v>2226</v>
      </c>
      <c r="E1232" s="701" t="s">
        <v>9111</v>
      </c>
      <c r="F1232" s="566">
        <v>1</v>
      </c>
      <c r="G1232" s="662">
        <v>0</v>
      </c>
      <c r="H1232" s="662">
        <v>0</v>
      </c>
      <c r="I1232" s="662">
        <v>0</v>
      </c>
      <c r="J1232" s="662">
        <v>19843.698661621162</v>
      </c>
      <c r="K1232" s="566" t="s">
        <v>4790</v>
      </c>
      <c r="L1232" s="549"/>
      <c r="M1232" s="540"/>
      <c r="O1232" s="540"/>
      <c r="S1232" s="550"/>
      <c r="T1232" s="547"/>
      <c r="U1232" s="547"/>
      <c r="V1232" s="547"/>
      <c r="W1232" s="549"/>
    </row>
    <row r="1233" spans="1:23">
      <c r="A1233" s="565">
        <v>1927</v>
      </c>
      <c r="B1233" s="696" t="s">
        <v>6640</v>
      </c>
      <c r="C1233" s="566">
        <f t="shared" si="19"/>
        <v>1927</v>
      </c>
      <c r="D1233" s="700" t="s">
        <v>2227</v>
      </c>
      <c r="E1233" s="701" t="s">
        <v>9112</v>
      </c>
      <c r="F1233" s="566">
        <v>2</v>
      </c>
      <c r="G1233" s="662">
        <v>0</v>
      </c>
      <c r="H1233" s="662">
        <v>19276.449533894815</v>
      </c>
      <c r="I1233" s="662">
        <v>19998.9663762618</v>
      </c>
      <c r="J1233" s="662">
        <v>20721.483218628793</v>
      </c>
      <c r="K1233" s="566" t="s">
        <v>3128</v>
      </c>
      <c r="L1233" s="549"/>
      <c r="M1233" s="540"/>
      <c r="O1233" s="540"/>
      <c r="S1233" s="550"/>
      <c r="T1233" s="547"/>
      <c r="U1233" s="547"/>
      <c r="V1233" s="547"/>
      <c r="W1233" s="549"/>
    </row>
    <row r="1234" spans="1:23">
      <c r="A1234" s="565">
        <v>1928</v>
      </c>
      <c r="B1234" s="696" t="s">
        <v>6641</v>
      </c>
      <c r="C1234" s="566">
        <f t="shared" si="19"/>
        <v>1928</v>
      </c>
      <c r="D1234" s="700" t="s">
        <v>2227</v>
      </c>
      <c r="E1234" s="701" t="s">
        <v>8602</v>
      </c>
      <c r="F1234" s="566">
        <v>2</v>
      </c>
      <c r="G1234" s="662">
        <v>19423.164585455899</v>
      </c>
      <c r="H1234" s="662">
        <v>20132.252831964746</v>
      </c>
      <c r="I1234" s="662">
        <v>20878.658951746031</v>
      </c>
      <c r="J1234" s="662">
        <v>21664.329118112513</v>
      </c>
      <c r="K1234" s="566" t="s">
        <v>1979</v>
      </c>
      <c r="L1234" s="549"/>
      <c r="M1234" s="540"/>
      <c r="O1234" s="540"/>
      <c r="S1234" s="550"/>
      <c r="T1234" s="547"/>
      <c r="U1234" s="547"/>
      <c r="V1234" s="547"/>
      <c r="W1234" s="549"/>
    </row>
    <row r="1235" spans="1:23">
      <c r="A1235" s="565">
        <v>1929</v>
      </c>
      <c r="B1235" s="696" t="s">
        <v>6642</v>
      </c>
      <c r="C1235" s="566">
        <f t="shared" si="19"/>
        <v>1929</v>
      </c>
      <c r="D1235" s="700" t="s">
        <v>2227</v>
      </c>
      <c r="E1235" s="701" t="s">
        <v>9113</v>
      </c>
      <c r="F1235" s="566">
        <v>2</v>
      </c>
      <c r="G1235" s="662">
        <v>25652.163732176257</v>
      </c>
      <c r="H1235" s="662">
        <v>26643.593072035666</v>
      </c>
      <c r="I1235" s="662">
        <v>27687.179856677387</v>
      </c>
      <c r="J1235" s="662">
        <v>28785.69738307214</v>
      </c>
      <c r="K1235" s="566" t="s">
        <v>1980</v>
      </c>
      <c r="L1235" s="549"/>
      <c r="M1235" s="540"/>
      <c r="O1235" s="540"/>
      <c r="S1235" s="550"/>
      <c r="T1235" s="547"/>
      <c r="U1235" s="547"/>
      <c r="V1235" s="547"/>
      <c r="W1235" s="549"/>
    </row>
    <row r="1236" spans="1:23">
      <c r="A1236" s="565">
        <v>1930</v>
      </c>
      <c r="B1236" s="696" t="s">
        <v>6643</v>
      </c>
      <c r="C1236" s="566">
        <f t="shared" si="19"/>
        <v>1930</v>
      </c>
      <c r="D1236" s="700" t="s">
        <v>2227</v>
      </c>
      <c r="E1236" s="701" t="s">
        <v>8603</v>
      </c>
      <c r="F1236" s="566">
        <v>1</v>
      </c>
      <c r="G1236" s="662">
        <v>10535.698972562943</v>
      </c>
      <c r="H1236" s="662">
        <v>10828.389334519554</v>
      </c>
      <c r="I1236" s="662">
        <v>11121.079696476156</v>
      </c>
      <c r="J1236" s="662">
        <v>11429.17695387465</v>
      </c>
      <c r="K1236" s="566" t="s">
        <v>1981</v>
      </c>
      <c r="L1236" s="549"/>
      <c r="M1236" s="540"/>
      <c r="O1236" s="540"/>
      <c r="S1236" s="550"/>
      <c r="T1236" s="547"/>
      <c r="U1236" s="547"/>
      <c r="V1236" s="547"/>
      <c r="W1236" s="549"/>
    </row>
    <row r="1237" spans="1:23">
      <c r="A1237" s="565">
        <v>1931</v>
      </c>
      <c r="B1237" s="696" t="s">
        <v>6644</v>
      </c>
      <c r="C1237" s="566">
        <f t="shared" si="19"/>
        <v>1931</v>
      </c>
      <c r="D1237" s="700" t="s">
        <v>2227</v>
      </c>
      <c r="E1237" s="701" t="s">
        <v>8604</v>
      </c>
      <c r="F1237" s="566">
        <v>2</v>
      </c>
      <c r="G1237" s="662">
        <v>9767.9131546823082</v>
      </c>
      <c r="H1237" s="662">
        <v>10051.373297687702</v>
      </c>
      <c r="I1237" s="662">
        <v>10349.770320868629</v>
      </c>
      <c r="J1237" s="662">
        <v>10663.83403921738</v>
      </c>
      <c r="K1237" s="566" t="s">
        <v>1982</v>
      </c>
      <c r="L1237" s="549"/>
      <c r="M1237" s="540"/>
      <c r="O1237" s="540"/>
      <c r="S1237" s="550"/>
      <c r="T1237" s="547"/>
      <c r="U1237" s="547"/>
      <c r="V1237" s="547"/>
      <c r="W1237" s="549"/>
    </row>
    <row r="1238" spans="1:23">
      <c r="A1238" s="565">
        <v>1932</v>
      </c>
      <c r="B1238" s="696" t="s">
        <v>6645</v>
      </c>
      <c r="C1238" s="566">
        <f t="shared" si="19"/>
        <v>1932</v>
      </c>
      <c r="D1238" s="700" t="s">
        <v>2227</v>
      </c>
      <c r="E1238" s="701" t="s">
        <v>9114</v>
      </c>
      <c r="F1238" s="566">
        <v>2</v>
      </c>
      <c r="G1238" s="662">
        <v>12821.970602474294</v>
      </c>
      <c r="H1238" s="662">
        <v>13202.882999815509</v>
      </c>
      <c r="I1238" s="662">
        <v>13603.849449363313</v>
      </c>
      <c r="J1238" s="662">
        <v>14025.901302374048</v>
      </c>
      <c r="K1238" s="566" t="s">
        <v>1983</v>
      </c>
      <c r="L1238" s="549"/>
      <c r="M1238" s="540"/>
      <c r="O1238" s="540"/>
      <c r="S1238" s="550"/>
      <c r="T1238" s="547"/>
      <c r="U1238" s="547"/>
      <c r="V1238" s="547"/>
      <c r="W1238" s="549"/>
    </row>
    <row r="1239" spans="1:23">
      <c r="A1239" s="565">
        <v>1933</v>
      </c>
      <c r="B1239" s="696" t="s">
        <v>6646</v>
      </c>
      <c r="C1239" s="566">
        <f t="shared" si="19"/>
        <v>1933</v>
      </c>
      <c r="D1239" s="700" t="s">
        <v>2227</v>
      </c>
      <c r="E1239" s="701" t="s">
        <v>9115</v>
      </c>
      <c r="F1239" s="566">
        <v>2</v>
      </c>
      <c r="G1239" s="662">
        <v>16987.612136640375</v>
      </c>
      <c r="H1239" s="662">
        <v>17607.516991091405</v>
      </c>
      <c r="I1239" s="662">
        <v>18260.020248531386</v>
      </c>
      <c r="J1239" s="662">
        <v>18946.873464941815</v>
      </c>
      <c r="K1239" s="566" t="s">
        <v>1984</v>
      </c>
      <c r="L1239" s="549"/>
      <c r="M1239" s="540"/>
      <c r="O1239" s="540"/>
      <c r="S1239" s="550"/>
      <c r="T1239" s="547"/>
      <c r="U1239" s="547"/>
      <c r="V1239" s="547"/>
      <c r="W1239" s="549"/>
    </row>
    <row r="1240" spans="1:23">
      <c r="A1240" s="565">
        <v>1934</v>
      </c>
      <c r="B1240" s="696" t="s">
        <v>6647</v>
      </c>
      <c r="C1240" s="566">
        <f t="shared" si="19"/>
        <v>1934</v>
      </c>
      <c r="D1240" s="700" t="s">
        <v>2227</v>
      </c>
      <c r="E1240" s="701" t="s">
        <v>9116</v>
      </c>
      <c r="F1240" s="566">
        <v>2</v>
      </c>
      <c r="G1240" s="662">
        <v>15616.754937603624</v>
      </c>
      <c r="H1240" s="662">
        <v>16173.117233392615</v>
      </c>
      <c r="I1240" s="662">
        <v>16758.769437538846</v>
      </c>
      <c r="J1240" s="662">
        <v>17375.219834359705</v>
      </c>
      <c r="K1240" s="566" t="s">
        <v>1985</v>
      </c>
      <c r="L1240" s="549"/>
      <c r="M1240" s="540"/>
      <c r="O1240" s="540"/>
      <c r="S1240" s="550"/>
      <c r="T1240" s="547"/>
      <c r="U1240" s="547"/>
      <c r="V1240" s="547"/>
      <c r="W1240" s="549"/>
    </row>
    <row r="1241" spans="1:23">
      <c r="A1241" s="565">
        <v>1935</v>
      </c>
      <c r="B1241" s="696" t="s">
        <v>6648</v>
      </c>
      <c r="C1241" s="566">
        <f t="shared" si="19"/>
        <v>1935</v>
      </c>
      <c r="D1241" s="700" t="s">
        <v>2227</v>
      </c>
      <c r="E1241" s="701" t="s">
        <v>9117</v>
      </c>
      <c r="F1241" s="566">
        <v>2</v>
      </c>
      <c r="G1241" s="662">
        <v>12449.517134548039</v>
      </c>
      <c r="H1241" s="662">
        <v>12853.834640276638</v>
      </c>
      <c r="I1241" s="662">
        <v>13279.462743780103</v>
      </c>
      <c r="J1241" s="662">
        <v>13727.47184038046</v>
      </c>
      <c r="K1241" s="566" t="s">
        <v>1986</v>
      </c>
      <c r="L1241" s="549"/>
      <c r="M1241" s="540"/>
      <c r="O1241" s="540"/>
      <c r="S1241" s="550"/>
      <c r="T1241" s="547"/>
      <c r="U1241" s="547"/>
      <c r="V1241" s="547"/>
      <c r="W1241" s="549"/>
    </row>
    <row r="1242" spans="1:23">
      <c r="A1242" s="565">
        <v>1936</v>
      </c>
      <c r="B1242" s="696" t="s">
        <v>6649</v>
      </c>
      <c r="C1242" s="566">
        <f t="shared" si="19"/>
        <v>1936</v>
      </c>
      <c r="D1242" s="700" t="s">
        <v>2227</v>
      </c>
      <c r="E1242" s="701" t="s">
        <v>9118</v>
      </c>
      <c r="F1242" s="566">
        <v>2</v>
      </c>
      <c r="G1242" s="662">
        <v>14590.7238756232</v>
      </c>
      <c r="H1242" s="662">
        <v>15075.904882497522</v>
      </c>
      <c r="I1242" s="662">
        <v>15586.629414101988</v>
      </c>
      <c r="J1242" s="662">
        <v>16124.259791755543</v>
      </c>
      <c r="K1242" s="566" t="s">
        <v>1987</v>
      </c>
      <c r="L1242" s="549"/>
      <c r="M1242" s="540"/>
      <c r="O1242" s="540"/>
      <c r="S1242" s="550"/>
      <c r="T1242" s="547"/>
      <c r="U1242" s="547"/>
      <c r="V1242" s="547"/>
      <c r="W1242" s="549"/>
    </row>
    <row r="1243" spans="1:23">
      <c r="A1243" s="565">
        <v>1937</v>
      </c>
      <c r="B1243" s="696" t="s">
        <v>6650</v>
      </c>
      <c r="C1243" s="566">
        <f t="shared" si="19"/>
        <v>1937</v>
      </c>
      <c r="D1243" s="700" t="s">
        <v>2227</v>
      </c>
      <c r="E1243" s="701" t="s">
        <v>9119</v>
      </c>
      <c r="F1243" s="566">
        <v>2</v>
      </c>
      <c r="G1243" s="662">
        <v>14590.7238756232</v>
      </c>
      <c r="H1243" s="662">
        <v>15075.904882497522</v>
      </c>
      <c r="I1243" s="662">
        <v>15586.629414101988</v>
      </c>
      <c r="J1243" s="662">
        <v>16124.259791755543</v>
      </c>
      <c r="K1243" s="566" t="s">
        <v>1988</v>
      </c>
      <c r="L1243" s="549"/>
      <c r="M1243" s="540"/>
      <c r="O1243" s="540"/>
      <c r="S1243" s="550"/>
      <c r="T1243" s="547"/>
      <c r="U1243" s="547"/>
      <c r="V1243" s="547"/>
      <c r="W1243" s="549"/>
    </row>
    <row r="1244" spans="1:23">
      <c r="A1244" s="565">
        <v>1938</v>
      </c>
      <c r="B1244" s="696" t="s">
        <v>6651</v>
      </c>
      <c r="C1244" s="566">
        <f t="shared" si="19"/>
        <v>1938</v>
      </c>
      <c r="D1244" s="700" t="s">
        <v>2228</v>
      </c>
      <c r="E1244" s="701" t="s">
        <v>9120</v>
      </c>
      <c r="F1244" s="566">
        <v>1</v>
      </c>
      <c r="G1244" s="662">
        <v>26974.539833128358</v>
      </c>
      <c r="H1244" s="662">
        <v>27644.515146844587</v>
      </c>
      <c r="I1244" s="662">
        <v>28349.734390353831</v>
      </c>
      <c r="J1244" s="662">
        <v>29092.084227555828</v>
      </c>
      <c r="K1244" s="566" t="s">
        <v>1989</v>
      </c>
      <c r="L1244" s="549"/>
      <c r="M1244" s="540"/>
      <c r="O1244" s="540"/>
      <c r="S1244" s="550"/>
      <c r="T1244" s="547"/>
      <c r="U1244" s="547"/>
      <c r="V1244" s="547"/>
      <c r="W1244" s="549"/>
    </row>
    <row r="1245" spans="1:23">
      <c r="A1245" s="565">
        <v>1939</v>
      </c>
      <c r="B1245" s="696" t="s">
        <v>6652</v>
      </c>
      <c r="C1245" s="566">
        <f t="shared" si="19"/>
        <v>1939</v>
      </c>
      <c r="D1245" s="700" t="s">
        <v>2228</v>
      </c>
      <c r="E1245" s="701" t="s">
        <v>9121</v>
      </c>
      <c r="F1245" s="566">
        <v>1</v>
      </c>
      <c r="G1245" s="662">
        <v>29737.730753838594</v>
      </c>
      <c r="H1245" s="662">
        <v>30484.115955492714</v>
      </c>
      <c r="I1245" s="662">
        <v>31269.780451392024</v>
      </c>
      <c r="J1245" s="662">
        <v>32096.794331093115</v>
      </c>
      <c r="K1245" s="566" t="s">
        <v>1990</v>
      </c>
      <c r="L1245" s="549"/>
      <c r="M1245" s="540"/>
      <c r="O1245" s="540"/>
      <c r="S1245" s="550"/>
      <c r="T1245" s="547"/>
      <c r="U1245" s="547"/>
      <c r="V1245" s="547"/>
      <c r="W1245" s="549"/>
    </row>
    <row r="1246" spans="1:23">
      <c r="A1246" s="565">
        <v>1940</v>
      </c>
      <c r="B1246" s="696" t="s">
        <v>6653</v>
      </c>
      <c r="C1246" s="566">
        <f t="shared" si="19"/>
        <v>1940</v>
      </c>
      <c r="D1246" s="700" t="s">
        <v>2228</v>
      </c>
      <c r="E1246" s="701" t="s">
        <v>9122</v>
      </c>
      <c r="F1246" s="566">
        <v>1</v>
      </c>
      <c r="G1246" s="662">
        <v>29776.684481838598</v>
      </c>
      <c r="H1246" s="662">
        <v>30523.069683492718</v>
      </c>
      <c r="I1246" s="662">
        <v>31308.734179392028</v>
      </c>
      <c r="J1246" s="662">
        <v>32135.748059093119</v>
      </c>
      <c r="K1246" s="566" t="s">
        <v>1991</v>
      </c>
      <c r="L1246" s="549"/>
      <c r="M1246" s="540"/>
      <c r="O1246" s="540"/>
      <c r="S1246" s="550"/>
      <c r="T1246" s="547"/>
      <c r="U1246" s="547"/>
      <c r="V1246" s="547"/>
      <c r="W1246" s="549"/>
    </row>
    <row r="1247" spans="1:23">
      <c r="A1247" s="565">
        <v>1941</v>
      </c>
      <c r="B1247" s="696" t="s">
        <v>6654</v>
      </c>
      <c r="C1247" s="566">
        <f t="shared" si="19"/>
        <v>1941</v>
      </c>
      <c r="D1247" s="700" t="s">
        <v>2228</v>
      </c>
      <c r="E1247" s="701" t="s">
        <v>9123</v>
      </c>
      <c r="F1247" s="566">
        <v>1</v>
      </c>
      <c r="G1247" s="662">
        <v>0</v>
      </c>
      <c r="H1247" s="662">
        <v>32770.259504857706</v>
      </c>
      <c r="I1247" s="662">
        <v>33516.225447867451</v>
      </c>
      <c r="J1247" s="662">
        <v>34301.470685122382</v>
      </c>
      <c r="K1247" s="566" t="s">
        <v>3129</v>
      </c>
      <c r="L1247" s="549"/>
      <c r="M1247" s="540"/>
      <c r="O1247" s="540"/>
      <c r="S1247" s="550"/>
      <c r="T1247" s="547"/>
      <c r="U1247" s="547"/>
      <c r="V1247" s="547"/>
      <c r="W1247" s="549"/>
    </row>
    <row r="1248" spans="1:23">
      <c r="A1248" s="565">
        <v>1942</v>
      </c>
      <c r="B1248" s="696" t="s">
        <v>6655</v>
      </c>
      <c r="C1248" s="566">
        <f t="shared" si="19"/>
        <v>1942</v>
      </c>
      <c r="D1248" s="700" t="s">
        <v>2228</v>
      </c>
      <c r="E1248" s="701" t="s">
        <v>9124</v>
      </c>
      <c r="F1248" s="566">
        <v>2</v>
      </c>
      <c r="G1248" s="662">
        <v>21421.599262378342</v>
      </c>
      <c r="H1248" s="662">
        <v>21903.056627713719</v>
      </c>
      <c r="I1248" s="662">
        <v>22409.851004965989</v>
      </c>
      <c r="J1248" s="662">
        <v>22943.335866993966</v>
      </c>
      <c r="K1248" s="566" t="s">
        <v>1992</v>
      </c>
      <c r="L1248" s="549"/>
      <c r="M1248" s="540"/>
      <c r="O1248" s="540"/>
      <c r="S1248" s="550"/>
      <c r="T1248" s="547"/>
      <c r="U1248" s="547"/>
      <c r="V1248" s="547"/>
      <c r="W1248" s="549"/>
    </row>
    <row r="1249" spans="1:23">
      <c r="A1249" s="565">
        <v>1943</v>
      </c>
      <c r="B1249" s="696" t="s">
        <v>6656</v>
      </c>
      <c r="C1249" s="566">
        <f t="shared" si="19"/>
        <v>1943</v>
      </c>
      <c r="D1249" s="700" t="s">
        <v>2228</v>
      </c>
      <c r="E1249" s="701" t="s">
        <v>9125</v>
      </c>
      <c r="F1249" s="566">
        <v>2</v>
      </c>
      <c r="G1249" s="662">
        <v>23122.710044079071</v>
      </c>
      <c r="H1249" s="662">
        <v>23623.901043695874</v>
      </c>
      <c r="I1249" s="662">
        <v>24125.092043312681</v>
      </c>
      <c r="J1249" s="662">
        <v>24652.648694219071</v>
      </c>
      <c r="K1249" s="566" t="s">
        <v>1993</v>
      </c>
      <c r="L1249" s="549"/>
      <c r="M1249" s="540"/>
      <c r="O1249" s="540"/>
      <c r="S1249" s="550"/>
      <c r="T1249" s="547"/>
      <c r="U1249" s="547"/>
      <c r="V1249" s="547"/>
      <c r="W1249" s="549"/>
    </row>
    <row r="1250" spans="1:23">
      <c r="A1250" s="565">
        <v>1944</v>
      </c>
      <c r="B1250" s="696" t="s">
        <v>6657</v>
      </c>
      <c r="C1250" s="566">
        <f t="shared" si="19"/>
        <v>1944</v>
      </c>
      <c r="D1250" s="700" t="s">
        <v>2228</v>
      </c>
      <c r="E1250" s="701" t="s">
        <v>9126</v>
      </c>
      <c r="F1250" s="566">
        <v>2</v>
      </c>
      <c r="G1250" s="662">
        <v>28610.590357985886</v>
      </c>
      <c r="H1250" s="662">
        <v>29287.81403761933</v>
      </c>
      <c r="I1250" s="662">
        <v>30000.661122896618</v>
      </c>
      <c r="J1250" s="662">
        <v>30751.026475820068</v>
      </c>
      <c r="K1250" s="566" t="s">
        <v>1994</v>
      </c>
      <c r="L1250" s="549"/>
      <c r="M1250" s="540"/>
      <c r="O1250" s="540"/>
      <c r="S1250" s="550"/>
      <c r="T1250" s="547"/>
      <c r="U1250" s="547"/>
      <c r="V1250" s="547"/>
      <c r="W1250" s="549"/>
    </row>
    <row r="1251" spans="1:23">
      <c r="A1251" s="565">
        <v>1945</v>
      </c>
      <c r="B1251" s="696" t="s">
        <v>6658</v>
      </c>
      <c r="C1251" s="566">
        <f t="shared" si="19"/>
        <v>1945</v>
      </c>
      <c r="D1251" s="700" t="s">
        <v>2228</v>
      </c>
      <c r="E1251" s="701" t="s">
        <v>9127</v>
      </c>
      <c r="F1251" s="566">
        <v>2</v>
      </c>
      <c r="G1251" s="662">
        <v>0</v>
      </c>
      <c r="H1251" s="662">
        <v>0</v>
      </c>
      <c r="I1251" s="662">
        <v>0</v>
      </c>
      <c r="J1251" s="662">
        <v>40328.319037984416</v>
      </c>
      <c r="K1251" s="566" t="s">
        <v>4791</v>
      </c>
      <c r="L1251" s="549"/>
      <c r="M1251" s="540"/>
      <c r="O1251" s="540"/>
      <c r="S1251" s="550"/>
      <c r="T1251" s="547"/>
      <c r="U1251" s="547"/>
      <c r="V1251" s="547"/>
      <c r="W1251" s="549"/>
    </row>
    <row r="1252" spans="1:23">
      <c r="A1252" s="565">
        <v>1946</v>
      </c>
      <c r="B1252" s="696" t="s">
        <v>6659</v>
      </c>
      <c r="C1252" s="566">
        <f t="shared" si="19"/>
        <v>1946</v>
      </c>
      <c r="D1252" s="700" t="s">
        <v>2228</v>
      </c>
      <c r="E1252" s="701" t="s">
        <v>9128</v>
      </c>
      <c r="F1252" s="566">
        <v>2</v>
      </c>
      <c r="G1252" s="662">
        <v>29991.012954297203</v>
      </c>
      <c r="H1252" s="662">
        <v>30705.809040491164</v>
      </c>
      <c r="I1252" s="662">
        <v>31458.231672160011</v>
      </c>
      <c r="J1252" s="662">
        <v>32250.256919677591</v>
      </c>
      <c r="K1252" s="566" t="s">
        <v>1995</v>
      </c>
      <c r="L1252" s="549"/>
      <c r="M1252" s="540"/>
      <c r="O1252" s="540"/>
      <c r="S1252" s="550"/>
      <c r="T1252" s="547"/>
      <c r="U1252" s="547"/>
      <c r="V1252" s="547"/>
      <c r="W1252" s="549"/>
    </row>
    <row r="1253" spans="1:23">
      <c r="A1253" s="565">
        <v>1947</v>
      </c>
      <c r="B1253" s="696" t="s">
        <v>6660</v>
      </c>
      <c r="C1253" s="566">
        <f t="shared" si="19"/>
        <v>1947</v>
      </c>
      <c r="D1253" s="700" t="s">
        <v>2228</v>
      </c>
      <c r="E1253" s="701" t="s">
        <v>9129</v>
      </c>
      <c r="F1253" s="566">
        <v>2</v>
      </c>
      <c r="G1253" s="662">
        <v>30746.417891853453</v>
      </c>
      <c r="H1253" s="662">
        <v>31463.569020821753</v>
      </c>
      <c r="I1253" s="662">
        <v>32218.454973093627</v>
      </c>
      <c r="J1253" s="662">
        <v>33013.078888500124</v>
      </c>
      <c r="K1253" s="566" t="s">
        <v>1996</v>
      </c>
      <c r="L1253" s="549"/>
      <c r="M1253" s="540"/>
      <c r="O1253" s="540"/>
      <c r="S1253" s="550"/>
      <c r="T1253" s="547"/>
      <c r="U1253" s="547"/>
      <c r="V1253" s="547"/>
      <c r="W1253" s="549"/>
    </row>
    <row r="1254" spans="1:23">
      <c r="A1254" s="565">
        <v>1948</v>
      </c>
      <c r="B1254" s="696" t="s">
        <v>6661</v>
      </c>
      <c r="C1254" s="566">
        <f t="shared" si="19"/>
        <v>1948</v>
      </c>
      <c r="D1254" s="700" t="s">
        <v>2228</v>
      </c>
      <c r="E1254" s="701" t="s">
        <v>9130</v>
      </c>
      <c r="F1254" s="566">
        <v>2</v>
      </c>
      <c r="G1254" s="662">
        <v>25572.260838042806</v>
      </c>
      <c r="H1254" s="662">
        <v>26138.959924025941</v>
      </c>
      <c r="I1254" s="662">
        <v>26705.631940551906</v>
      </c>
      <c r="J1254" s="662">
        <v>27302.134498886004</v>
      </c>
      <c r="K1254" s="566" t="s">
        <v>1997</v>
      </c>
      <c r="L1254" s="549"/>
      <c r="M1254" s="540"/>
      <c r="O1254" s="540"/>
      <c r="S1254" s="550"/>
      <c r="T1254" s="547"/>
      <c r="U1254" s="547"/>
      <c r="V1254" s="547"/>
      <c r="W1254" s="549"/>
    </row>
    <row r="1255" spans="1:23">
      <c r="A1255" s="565">
        <v>1949</v>
      </c>
      <c r="B1255" s="695" t="s">
        <v>6662</v>
      </c>
      <c r="C1255" s="566">
        <f t="shared" si="19"/>
        <v>1949</v>
      </c>
      <c r="D1255" s="699" t="s">
        <v>2228</v>
      </c>
      <c r="E1255" s="701" t="s">
        <v>9131</v>
      </c>
      <c r="F1255" s="567">
        <v>2</v>
      </c>
      <c r="G1255" s="662">
        <v>24818.515343052666</v>
      </c>
      <c r="H1255" s="662">
        <v>25351.918996709112</v>
      </c>
      <c r="I1255" s="662">
        <v>25913.393677457247</v>
      </c>
      <c r="J1255" s="662">
        <v>26504.428205441764</v>
      </c>
      <c r="K1255" s="568" t="s">
        <v>1998</v>
      </c>
      <c r="L1255" s="549"/>
      <c r="M1255" s="540"/>
      <c r="O1255" s="540"/>
      <c r="S1255" s="550"/>
      <c r="T1255" s="547"/>
      <c r="U1255" s="547"/>
      <c r="V1255" s="547"/>
      <c r="W1255" s="549"/>
    </row>
    <row r="1256" spans="1:23">
      <c r="A1256" s="565">
        <v>1950</v>
      </c>
      <c r="B1256" s="696" t="s">
        <v>6663</v>
      </c>
      <c r="C1256" s="566">
        <f t="shared" si="19"/>
        <v>1950</v>
      </c>
      <c r="D1256" s="700" t="s">
        <v>2228</v>
      </c>
      <c r="E1256" s="701" t="s">
        <v>9132</v>
      </c>
      <c r="F1256" s="566">
        <v>2</v>
      </c>
      <c r="G1256" s="662">
        <v>0</v>
      </c>
      <c r="H1256" s="662">
        <v>0</v>
      </c>
      <c r="I1256" s="662">
        <v>0</v>
      </c>
      <c r="J1256" s="662">
        <v>42212.717954262465</v>
      </c>
      <c r="K1256" s="566" t="s">
        <v>4792</v>
      </c>
      <c r="L1256" s="549"/>
      <c r="M1256" s="540"/>
      <c r="O1256" s="540"/>
      <c r="S1256" s="550"/>
      <c r="T1256" s="547"/>
      <c r="U1256" s="547"/>
      <c r="V1256" s="547"/>
      <c r="W1256" s="549"/>
    </row>
    <row r="1257" spans="1:23">
      <c r="A1257" s="565">
        <v>1951</v>
      </c>
      <c r="B1257" s="695" t="s">
        <v>6664</v>
      </c>
      <c r="C1257" s="566">
        <f t="shared" si="19"/>
        <v>1951</v>
      </c>
      <c r="D1257" s="699" t="s">
        <v>2228</v>
      </c>
      <c r="E1257" s="701" t="s">
        <v>9133</v>
      </c>
      <c r="F1257" s="567">
        <v>1</v>
      </c>
      <c r="G1257" s="662">
        <v>26551.994135153924</v>
      </c>
      <c r="H1257" s="662">
        <v>27226.159110847355</v>
      </c>
      <c r="I1257" s="662">
        <v>27900.324086540793</v>
      </c>
      <c r="J1257" s="662">
        <v>28609.966994080107</v>
      </c>
      <c r="K1257" s="568" t="s">
        <v>1999</v>
      </c>
      <c r="L1257" s="549"/>
      <c r="M1257" s="540"/>
      <c r="O1257" s="540"/>
      <c r="S1257" s="550"/>
      <c r="T1257" s="547"/>
      <c r="U1257" s="547"/>
      <c r="V1257" s="547"/>
      <c r="W1257" s="549"/>
    </row>
    <row r="1258" spans="1:23">
      <c r="A1258" s="565">
        <v>1952</v>
      </c>
      <c r="B1258" s="695" t="s">
        <v>6665</v>
      </c>
      <c r="C1258" s="566">
        <f t="shared" si="19"/>
        <v>1952</v>
      </c>
      <c r="D1258" s="699" t="s">
        <v>2228</v>
      </c>
      <c r="E1258" s="701" t="s">
        <v>9134</v>
      </c>
      <c r="F1258" s="567">
        <v>1</v>
      </c>
      <c r="G1258" s="662">
        <v>0</v>
      </c>
      <c r="H1258" s="662">
        <v>0</v>
      </c>
      <c r="I1258" s="662">
        <v>28968.39597113632</v>
      </c>
      <c r="J1258" s="662">
        <v>29670.679244357641</v>
      </c>
      <c r="K1258" s="568" t="s">
        <v>4055</v>
      </c>
      <c r="L1258" s="549"/>
      <c r="M1258" s="540"/>
      <c r="O1258" s="540"/>
      <c r="S1258" s="550"/>
      <c r="T1258" s="547"/>
      <c r="U1258" s="547"/>
      <c r="V1258" s="547"/>
      <c r="W1258" s="549"/>
    </row>
    <row r="1259" spans="1:23">
      <c r="A1259" s="565">
        <v>1953</v>
      </c>
      <c r="B1259" s="696" t="s">
        <v>6666</v>
      </c>
      <c r="C1259" s="566">
        <f t="shared" si="19"/>
        <v>1953</v>
      </c>
      <c r="D1259" s="700" t="s">
        <v>2228</v>
      </c>
      <c r="E1259" s="701" t="s">
        <v>9135</v>
      </c>
      <c r="F1259" s="566">
        <v>1</v>
      </c>
      <c r="G1259" s="662">
        <v>0</v>
      </c>
      <c r="H1259" s="662">
        <v>0</v>
      </c>
      <c r="I1259" s="662">
        <v>26804.755833478437</v>
      </c>
      <c r="J1259" s="662">
        <v>27450.100256460988</v>
      </c>
      <c r="K1259" s="566" t="s">
        <v>4056</v>
      </c>
      <c r="L1259" s="549"/>
      <c r="M1259" s="540"/>
      <c r="O1259" s="540"/>
      <c r="S1259" s="550"/>
      <c r="T1259" s="547"/>
      <c r="U1259" s="547"/>
      <c r="V1259" s="547"/>
      <c r="W1259" s="549"/>
    </row>
    <row r="1260" spans="1:23">
      <c r="A1260" s="565">
        <v>1954</v>
      </c>
      <c r="B1260" s="696" t="s">
        <v>6667</v>
      </c>
      <c r="C1260" s="566">
        <f t="shared" si="19"/>
        <v>1954</v>
      </c>
      <c r="D1260" s="700" t="s">
        <v>2228</v>
      </c>
      <c r="E1260" s="701" t="s">
        <v>9136</v>
      </c>
      <c r="F1260" s="566">
        <v>1</v>
      </c>
      <c r="G1260" s="662">
        <v>34964.194176179699</v>
      </c>
      <c r="H1260" s="662">
        <v>35873.985861206689</v>
      </c>
      <c r="I1260" s="662">
        <v>36831.681304651633</v>
      </c>
      <c r="J1260" s="662">
        <v>37839.763323261803</v>
      </c>
      <c r="K1260" s="566" t="s">
        <v>2000</v>
      </c>
      <c r="L1260" s="549"/>
      <c r="M1260" s="540"/>
      <c r="O1260" s="540"/>
      <c r="S1260" s="550"/>
      <c r="T1260" s="547"/>
      <c r="U1260" s="547"/>
      <c r="V1260" s="547"/>
      <c r="W1260" s="549"/>
    </row>
    <row r="1261" spans="1:23">
      <c r="A1261" s="565">
        <v>1955</v>
      </c>
      <c r="B1261" s="696" t="s">
        <v>6668</v>
      </c>
      <c r="C1261" s="566">
        <f t="shared" si="19"/>
        <v>1955</v>
      </c>
      <c r="D1261" s="700" t="s">
        <v>2229</v>
      </c>
      <c r="E1261" s="701" t="s">
        <v>9137</v>
      </c>
      <c r="F1261" s="566">
        <v>2</v>
      </c>
      <c r="G1261" s="662">
        <v>0</v>
      </c>
      <c r="H1261" s="662">
        <v>26210.001332735206</v>
      </c>
      <c r="I1261" s="662">
        <v>27260.253760973184</v>
      </c>
      <c r="J1261" s="662">
        <v>28310.457534878336</v>
      </c>
      <c r="K1261" s="566" t="s">
        <v>3130</v>
      </c>
      <c r="L1261" s="549"/>
      <c r="M1261" s="540"/>
      <c r="O1261" s="540"/>
      <c r="S1261" s="550"/>
      <c r="T1261" s="547"/>
      <c r="U1261" s="547"/>
      <c r="V1261" s="547"/>
      <c r="W1261" s="549"/>
    </row>
    <row r="1262" spans="1:23">
      <c r="A1262" s="565">
        <v>1956</v>
      </c>
      <c r="B1262" s="696" t="s">
        <v>6669</v>
      </c>
      <c r="C1262" s="566">
        <f t="shared" si="19"/>
        <v>1956</v>
      </c>
      <c r="D1262" s="700" t="s">
        <v>2229</v>
      </c>
      <c r="E1262" s="701" t="s">
        <v>9138</v>
      </c>
      <c r="F1262" s="566">
        <v>2</v>
      </c>
      <c r="G1262" s="662">
        <v>0</v>
      </c>
      <c r="H1262" s="662">
        <v>29189.775200572851</v>
      </c>
      <c r="I1262" s="662">
        <v>30327.070230224599</v>
      </c>
      <c r="J1262" s="662">
        <v>31524.210089244123</v>
      </c>
      <c r="K1262" s="566" t="s">
        <v>3131</v>
      </c>
      <c r="L1262" s="549"/>
      <c r="M1262" s="540"/>
      <c r="O1262" s="540"/>
      <c r="S1262" s="550"/>
      <c r="T1262" s="547"/>
      <c r="U1262" s="547"/>
      <c r="V1262" s="547"/>
      <c r="W1262" s="549"/>
    </row>
    <row r="1263" spans="1:23">
      <c r="A1263" s="565">
        <v>1957</v>
      </c>
      <c r="B1263" s="695" t="s">
        <v>6670</v>
      </c>
      <c r="C1263" s="566">
        <f t="shared" si="19"/>
        <v>1957</v>
      </c>
      <c r="D1263" s="699" t="s">
        <v>2229</v>
      </c>
      <c r="E1263" s="701" t="s">
        <v>9139</v>
      </c>
      <c r="F1263" s="567">
        <v>2</v>
      </c>
      <c r="G1263" s="662">
        <v>26754.442943250862</v>
      </c>
      <c r="H1263" s="662">
        <v>27803.138432838612</v>
      </c>
      <c r="I1263" s="662">
        <v>28907.0565901763</v>
      </c>
      <c r="J1263" s="662">
        <v>30069.068020900271</v>
      </c>
      <c r="K1263" s="568" t="s">
        <v>2001</v>
      </c>
      <c r="L1263" s="549"/>
      <c r="M1263" s="540"/>
      <c r="O1263" s="540"/>
      <c r="S1263" s="550"/>
      <c r="T1263" s="547"/>
      <c r="U1263" s="547"/>
      <c r="V1263" s="547"/>
      <c r="W1263" s="549"/>
    </row>
    <row r="1264" spans="1:23">
      <c r="A1264" s="565">
        <v>1958</v>
      </c>
      <c r="B1264" s="695" t="s">
        <v>6671</v>
      </c>
      <c r="C1264" s="566">
        <f t="shared" si="19"/>
        <v>1958</v>
      </c>
      <c r="D1264" s="699" t="s">
        <v>2229</v>
      </c>
      <c r="E1264" s="701" t="s">
        <v>9140</v>
      </c>
      <c r="F1264" s="567">
        <v>2</v>
      </c>
      <c r="G1264" s="662">
        <v>27703.030604163861</v>
      </c>
      <c r="H1264" s="662">
        <v>28795.417684623371</v>
      </c>
      <c r="I1264" s="662">
        <v>29945.265532142505</v>
      </c>
      <c r="J1264" s="662">
        <v>31155.688024021703</v>
      </c>
      <c r="K1264" s="568" t="s">
        <v>2002</v>
      </c>
      <c r="L1264" s="549"/>
      <c r="M1264" s="540"/>
      <c r="O1264" s="540"/>
      <c r="S1264" s="550"/>
      <c r="T1264" s="547"/>
      <c r="U1264" s="547"/>
      <c r="V1264" s="547"/>
      <c r="W1264" s="549"/>
    </row>
    <row r="1265" spans="1:23">
      <c r="A1265" s="565">
        <v>1959</v>
      </c>
      <c r="B1265" s="696" t="s">
        <v>6672</v>
      </c>
      <c r="C1265" s="566">
        <f t="shared" si="19"/>
        <v>1959</v>
      </c>
      <c r="D1265" s="700" t="s">
        <v>2229</v>
      </c>
      <c r="E1265" s="701" t="s">
        <v>9141</v>
      </c>
      <c r="F1265" s="566">
        <v>2</v>
      </c>
      <c r="G1265" s="662">
        <v>28787.096034969571</v>
      </c>
      <c r="H1265" s="662">
        <v>29929.451115234529</v>
      </c>
      <c r="I1265" s="662">
        <v>31131.894296531354</v>
      </c>
      <c r="J1265" s="662">
        <v>32397.636764826122</v>
      </c>
      <c r="K1265" s="566" t="s">
        <v>2003</v>
      </c>
      <c r="L1265" s="549"/>
      <c r="M1265" s="540"/>
      <c r="O1265" s="540"/>
      <c r="S1265" s="550"/>
      <c r="T1265" s="547"/>
      <c r="U1265" s="547"/>
      <c r="V1265" s="547"/>
      <c r="W1265" s="549"/>
    </row>
    <row r="1266" spans="1:23">
      <c r="A1266" s="565">
        <v>1960</v>
      </c>
      <c r="B1266" s="696" t="s">
        <v>6673</v>
      </c>
      <c r="C1266" s="566">
        <f t="shared" si="19"/>
        <v>1960</v>
      </c>
      <c r="D1266" s="700" t="s">
        <v>2229</v>
      </c>
      <c r="E1266" s="701" t="s">
        <v>9142</v>
      </c>
      <c r="F1266" s="566">
        <v>2</v>
      </c>
      <c r="G1266" s="662">
        <v>29735.683695882573</v>
      </c>
      <c r="H1266" s="662">
        <v>30921.730367019296</v>
      </c>
      <c r="I1266" s="662">
        <v>32170.2005471632</v>
      </c>
      <c r="J1266" s="662">
        <v>33484.354076613192</v>
      </c>
      <c r="K1266" s="566" t="s">
        <v>2004</v>
      </c>
      <c r="L1266" s="549"/>
      <c r="M1266" s="540"/>
      <c r="O1266" s="540"/>
      <c r="S1266" s="550"/>
      <c r="T1266" s="547"/>
      <c r="U1266" s="547"/>
      <c r="V1266" s="547"/>
      <c r="W1266" s="549"/>
    </row>
    <row r="1267" spans="1:23">
      <c r="A1267" s="565">
        <v>1961</v>
      </c>
      <c r="B1267" s="696" t="s">
        <v>6674</v>
      </c>
      <c r="C1267" s="566">
        <f t="shared" si="19"/>
        <v>1961</v>
      </c>
      <c r="D1267" s="700" t="s">
        <v>2230</v>
      </c>
      <c r="E1267" s="701" t="s">
        <v>9143</v>
      </c>
      <c r="F1267" s="566">
        <v>1</v>
      </c>
      <c r="G1267" s="662">
        <v>24699.781075867621</v>
      </c>
      <c r="H1267" s="662">
        <v>25512.029636341755</v>
      </c>
      <c r="I1267" s="662">
        <v>26367.008024933144</v>
      </c>
      <c r="J1267" s="662">
        <v>27267.007199120042</v>
      </c>
      <c r="K1267" s="566" t="s">
        <v>2005</v>
      </c>
      <c r="L1267" s="549"/>
      <c r="M1267" s="540"/>
      <c r="O1267" s="540"/>
      <c r="S1267" s="550"/>
      <c r="T1267" s="547"/>
      <c r="U1267" s="547"/>
      <c r="V1267" s="547"/>
      <c r="W1267" s="549"/>
    </row>
    <row r="1268" spans="1:23">
      <c r="A1268" s="565">
        <v>1962</v>
      </c>
      <c r="B1268" s="696" t="s">
        <v>6675</v>
      </c>
      <c r="C1268" s="566">
        <f t="shared" si="19"/>
        <v>1962</v>
      </c>
      <c r="D1268" s="700" t="s">
        <v>2230</v>
      </c>
      <c r="E1268" s="701" t="s">
        <v>9144</v>
      </c>
      <c r="F1268" s="566">
        <v>1</v>
      </c>
      <c r="G1268" s="662">
        <v>15999.27742070466</v>
      </c>
      <c r="H1268" s="662">
        <v>16519.29005679283</v>
      </c>
      <c r="I1268" s="662">
        <v>0</v>
      </c>
      <c r="J1268" s="662">
        <v>0</v>
      </c>
      <c r="K1268" s="566" t="s">
        <v>2006</v>
      </c>
      <c r="L1268" s="549"/>
      <c r="M1268" s="540"/>
      <c r="O1268" s="540"/>
      <c r="S1268" s="550"/>
      <c r="T1268" s="547"/>
      <c r="U1268" s="547"/>
      <c r="V1268" s="547"/>
      <c r="W1268" s="549"/>
    </row>
    <row r="1269" spans="1:23">
      <c r="A1269" s="565">
        <v>1963</v>
      </c>
      <c r="B1269" s="696" t="s">
        <v>6676</v>
      </c>
      <c r="C1269" s="566">
        <f t="shared" si="19"/>
        <v>1963</v>
      </c>
      <c r="D1269" s="700" t="s">
        <v>2230</v>
      </c>
      <c r="E1269" s="701" t="s">
        <v>9145</v>
      </c>
      <c r="F1269" s="566">
        <v>1</v>
      </c>
      <c r="G1269" s="662">
        <v>18753.481801480928</v>
      </c>
      <c r="H1269" s="662">
        <v>0</v>
      </c>
      <c r="I1269" s="662">
        <v>0</v>
      </c>
      <c r="J1269" s="662">
        <v>0</v>
      </c>
      <c r="K1269" s="566" t="s">
        <v>5281</v>
      </c>
      <c r="L1269" s="549"/>
      <c r="M1269" s="540"/>
      <c r="O1269" s="540"/>
      <c r="S1269" s="550"/>
      <c r="T1269" s="547"/>
      <c r="U1269" s="547"/>
      <c r="V1269" s="547"/>
      <c r="W1269" s="549"/>
    </row>
    <row r="1270" spans="1:23">
      <c r="A1270" s="565">
        <v>1964</v>
      </c>
      <c r="B1270" s="696" t="s">
        <v>6677</v>
      </c>
      <c r="C1270" s="566">
        <f t="shared" si="19"/>
        <v>1964</v>
      </c>
      <c r="D1270" s="700" t="s">
        <v>2230</v>
      </c>
      <c r="E1270" s="701" t="s">
        <v>9146</v>
      </c>
      <c r="F1270" s="566">
        <v>1</v>
      </c>
      <c r="G1270" s="662">
        <v>18753.481801480928</v>
      </c>
      <c r="H1270" s="662">
        <v>19377.975983168537</v>
      </c>
      <c r="I1270" s="662">
        <v>20035.307222044554</v>
      </c>
      <c r="J1270" s="662">
        <v>20727.280514910017</v>
      </c>
      <c r="K1270" s="566" t="s">
        <v>2007</v>
      </c>
      <c r="L1270" s="549"/>
      <c r="M1270" s="540"/>
      <c r="O1270" s="540"/>
      <c r="S1270" s="550"/>
      <c r="T1270" s="547"/>
      <c r="U1270" s="547"/>
      <c r="V1270" s="547"/>
      <c r="W1270" s="549"/>
    </row>
    <row r="1271" spans="1:23">
      <c r="A1271" s="565">
        <v>1965</v>
      </c>
      <c r="B1271" s="696" t="s">
        <v>6678</v>
      </c>
      <c r="C1271" s="566">
        <f t="shared" si="19"/>
        <v>1965</v>
      </c>
      <c r="D1271" s="700" t="s">
        <v>2230</v>
      </c>
      <c r="E1271" s="701" t="s">
        <v>9147</v>
      </c>
      <c r="F1271" s="566">
        <v>1</v>
      </c>
      <c r="G1271" s="662">
        <v>0</v>
      </c>
      <c r="H1271" s="662">
        <v>18575.062153487095</v>
      </c>
      <c r="I1271" s="662">
        <v>19155.299202071958</v>
      </c>
      <c r="J1271" s="662">
        <v>19766.082350366956</v>
      </c>
      <c r="K1271" s="566" t="s">
        <v>3132</v>
      </c>
      <c r="L1271" s="549"/>
      <c r="M1271" s="540"/>
      <c r="O1271" s="540"/>
      <c r="S1271" s="550"/>
      <c r="T1271" s="547"/>
      <c r="U1271" s="547"/>
      <c r="V1271" s="547"/>
      <c r="W1271" s="549"/>
    </row>
    <row r="1272" spans="1:23">
      <c r="A1272" s="565">
        <v>1966</v>
      </c>
      <c r="B1272" s="696" t="s">
        <v>6679</v>
      </c>
      <c r="C1272" s="566">
        <f t="shared" si="19"/>
        <v>1966</v>
      </c>
      <c r="D1272" s="700" t="s">
        <v>2230</v>
      </c>
      <c r="E1272" s="701" t="s">
        <v>9148</v>
      </c>
      <c r="F1272" s="566">
        <v>1</v>
      </c>
      <c r="G1272" s="662">
        <v>0</v>
      </c>
      <c r="H1272" s="662">
        <v>0</v>
      </c>
      <c r="I1272" s="662">
        <v>19798.176528730535</v>
      </c>
      <c r="J1272" s="662">
        <v>20422.011192356225</v>
      </c>
      <c r="K1272" s="566" t="s">
        <v>4057</v>
      </c>
      <c r="L1272" s="549"/>
      <c r="M1272" s="540"/>
      <c r="O1272" s="540"/>
      <c r="S1272" s="550"/>
      <c r="T1272" s="547"/>
      <c r="U1272" s="547"/>
      <c r="V1272" s="547"/>
      <c r="W1272" s="549"/>
    </row>
    <row r="1273" spans="1:23">
      <c r="A1273" s="565">
        <v>1967</v>
      </c>
      <c r="B1273" s="696" t="s">
        <v>6680</v>
      </c>
      <c r="C1273" s="566">
        <f t="shared" si="19"/>
        <v>1967</v>
      </c>
      <c r="D1273" s="700" t="s">
        <v>2230</v>
      </c>
      <c r="E1273" s="701" t="s">
        <v>9149</v>
      </c>
      <c r="F1273" s="566">
        <v>1</v>
      </c>
      <c r="G1273" s="662">
        <v>0</v>
      </c>
      <c r="H1273" s="662">
        <v>0</v>
      </c>
      <c r="I1273" s="662">
        <v>22129.017130609529</v>
      </c>
      <c r="J1273" s="662">
        <v>22835.881647083686</v>
      </c>
      <c r="K1273" s="566" t="s">
        <v>4058</v>
      </c>
      <c r="L1273" s="549"/>
      <c r="M1273" s="540"/>
      <c r="O1273" s="540"/>
      <c r="S1273" s="550"/>
      <c r="T1273" s="547"/>
      <c r="U1273" s="547"/>
      <c r="V1273" s="547"/>
      <c r="W1273" s="549"/>
    </row>
    <row r="1274" spans="1:23">
      <c r="A1274" s="565">
        <v>1968</v>
      </c>
      <c r="B1274" s="696" t="s">
        <v>6681</v>
      </c>
      <c r="C1274" s="566">
        <f t="shared" si="19"/>
        <v>1968</v>
      </c>
      <c r="D1274" s="700" t="s">
        <v>2230</v>
      </c>
      <c r="E1274" s="701" t="s">
        <v>9150</v>
      </c>
      <c r="F1274" s="566">
        <v>1</v>
      </c>
      <c r="G1274" s="662">
        <v>0</v>
      </c>
      <c r="H1274" s="662">
        <v>0</v>
      </c>
      <c r="I1274" s="662">
        <v>22221.327649495826</v>
      </c>
      <c r="J1274" s="662">
        <v>22931.455044802657</v>
      </c>
      <c r="K1274" s="566" t="s">
        <v>4059</v>
      </c>
      <c r="L1274" s="549"/>
      <c r="M1274" s="540"/>
      <c r="O1274" s="540"/>
      <c r="S1274" s="550"/>
      <c r="T1274" s="547"/>
      <c r="U1274" s="547"/>
      <c r="V1274" s="547"/>
      <c r="W1274" s="549"/>
    </row>
    <row r="1275" spans="1:23">
      <c r="A1275" s="565">
        <v>1969</v>
      </c>
      <c r="B1275" s="696" t="s">
        <v>6682</v>
      </c>
      <c r="C1275" s="566">
        <f t="shared" si="19"/>
        <v>1969</v>
      </c>
      <c r="D1275" s="700" t="s">
        <v>2230</v>
      </c>
      <c r="E1275" s="701" t="s">
        <v>9151</v>
      </c>
      <c r="F1275" s="566">
        <v>1</v>
      </c>
      <c r="G1275" s="662">
        <v>0</v>
      </c>
      <c r="H1275" s="662">
        <v>20605.893568985637</v>
      </c>
      <c r="I1275" s="662">
        <v>21258.469335520404</v>
      </c>
      <c r="J1275" s="662">
        <v>21945.409464229091</v>
      </c>
      <c r="K1275" s="566" t="s">
        <v>3133</v>
      </c>
      <c r="L1275" s="549"/>
      <c r="M1275" s="540"/>
      <c r="O1275" s="540"/>
      <c r="S1275" s="550"/>
      <c r="T1275" s="547"/>
      <c r="U1275" s="547"/>
      <c r="V1275" s="547"/>
      <c r="W1275" s="549"/>
    </row>
    <row r="1276" spans="1:23">
      <c r="A1276" s="565">
        <v>1970</v>
      </c>
      <c r="B1276" s="696" t="s">
        <v>6683</v>
      </c>
      <c r="C1276" s="566">
        <f t="shared" si="19"/>
        <v>1970</v>
      </c>
      <c r="D1276" s="700" t="s">
        <v>2230</v>
      </c>
      <c r="E1276" s="701" t="s">
        <v>9152</v>
      </c>
      <c r="F1276" s="566">
        <v>1</v>
      </c>
      <c r="G1276" s="662">
        <v>13725.757941189688</v>
      </c>
      <c r="H1276" s="662">
        <v>14146.877579466282</v>
      </c>
      <c r="I1276" s="662">
        <v>14590.143140032718</v>
      </c>
      <c r="J1276" s="662">
        <v>15056.734813105084</v>
      </c>
      <c r="K1276" s="566" t="s">
        <v>2008</v>
      </c>
      <c r="L1276" s="549"/>
      <c r="M1276" s="540"/>
      <c r="O1276" s="540"/>
      <c r="S1276" s="550"/>
      <c r="T1276" s="547"/>
      <c r="U1276" s="547"/>
      <c r="V1276" s="547"/>
      <c r="W1276" s="549"/>
    </row>
    <row r="1277" spans="1:23">
      <c r="A1277" s="565">
        <v>1971</v>
      </c>
      <c r="B1277" s="696" t="s">
        <v>6684</v>
      </c>
      <c r="C1277" s="566">
        <f t="shared" si="19"/>
        <v>1971</v>
      </c>
      <c r="D1277" s="700" t="s">
        <v>2230</v>
      </c>
      <c r="E1277" s="701" t="s">
        <v>9153</v>
      </c>
      <c r="F1277" s="566">
        <v>1</v>
      </c>
      <c r="G1277" s="662">
        <v>13173.082797672383</v>
      </c>
      <c r="H1277" s="662">
        <v>13407.544457890404</v>
      </c>
      <c r="I1277" s="662">
        <v>13654.330916884481</v>
      </c>
      <c r="J1277" s="662">
        <v>13914.126885697735</v>
      </c>
      <c r="K1277" s="566" t="s">
        <v>2009</v>
      </c>
      <c r="L1277" s="549"/>
      <c r="M1277" s="540"/>
      <c r="O1277" s="540"/>
      <c r="S1277" s="550"/>
      <c r="T1277" s="547"/>
      <c r="U1277" s="547"/>
      <c r="V1277" s="547"/>
      <c r="W1277" s="549"/>
    </row>
    <row r="1278" spans="1:23">
      <c r="A1278" s="565">
        <v>1972</v>
      </c>
      <c r="B1278" s="696" t="s">
        <v>6685</v>
      </c>
      <c r="C1278" s="566">
        <f t="shared" si="19"/>
        <v>1972</v>
      </c>
      <c r="D1278" s="700" t="s">
        <v>2230</v>
      </c>
      <c r="E1278" s="701" t="s">
        <v>9154</v>
      </c>
      <c r="F1278" s="566">
        <v>1</v>
      </c>
      <c r="G1278" s="662">
        <v>12402.37754445664</v>
      </c>
      <c r="H1278" s="662">
        <v>12620.240149084002</v>
      </c>
      <c r="I1278" s="662">
        <v>12849.556102068915</v>
      </c>
      <c r="J1278" s="662">
        <v>13090.94786799603</v>
      </c>
      <c r="K1278" s="566" t="s">
        <v>2010</v>
      </c>
      <c r="L1278" s="549"/>
      <c r="M1278" s="540"/>
      <c r="O1278" s="540"/>
      <c r="S1278" s="550"/>
      <c r="T1278" s="547"/>
      <c r="U1278" s="547"/>
      <c r="V1278" s="547"/>
      <c r="W1278" s="549"/>
    </row>
    <row r="1279" spans="1:23">
      <c r="A1279" s="565">
        <v>1973</v>
      </c>
      <c r="B1279" s="696" t="s">
        <v>6686</v>
      </c>
      <c r="C1279" s="566">
        <f t="shared" si="19"/>
        <v>1973</v>
      </c>
      <c r="D1279" s="700" t="s">
        <v>2230</v>
      </c>
      <c r="E1279" s="701" t="s">
        <v>9155</v>
      </c>
      <c r="F1279" s="566">
        <v>1</v>
      </c>
      <c r="G1279" s="662">
        <v>12546.884779434598</v>
      </c>
      <c r="H1279" s="662">
        <v>12767.859706985198</v>
      </c>
      <c r="I1279" s="662">
        <v>13000.45397344927</v>
      </c>
      <c r="J1279" s="662">
        <v>13245.310792230934</v>
      </c>
      <c r="K1279" s="566" t="s">
        <v>2011</v>
      </c>
      <c r="L1279" s="549"/>
      <c r="M1279" s="540"/>
      <c r="O1279" s="540"/>
      <c r="S1279" s="550"/>
      <c r="T1279" s="547"/>
      <c r="U1279" s="547"/>
      <c r="V1279" s="547"/>
      <c r="W1279" s="549"/>
    </row>
    <row r="1280" spans="1:23">
      <c r="A1280" s="565">
        <v>1974</v>
      </c>
      <c r="B1280" s="695" t="s">
        <v>6687</v>
      </c>
      <c r="C1280" s="566">
        <f t="shared" si="19"/>
        <v>1974</v>
      </c>
      <c r="D1280" s="699" t="s">
        <v>2230</v>
      </c>
      <c r="E1280" s="701" t="s">
        <v>9156</v>
      </c>
      <c r="F1280" s="567">
        <v>1</v>
      </c>
      <c r="G1280" s="662">
        <v>11776.179526218855</v>
      </c>
      <c r="H1280" s="662">
        <v>11980.555398178805</v>
      </c>
      <c r="I1280" s="662">
        <v>12195.679158633704</v>
      </c>
      <c r="J1280" s="662">
        <v>12422.131774529231</v>
      </c>
      <c r="K1280" s="568" t="s">
        <v>2012</v>
      </c>
      <c r="L1280" s="549"/>
      <c r="M1280" s="540"/>
      <c r="O1280" s="540"/>
      <c r="S1280" s="550"/>
      <c r="T1280" s="547"/>
      <c r="U1280" s="547"/>
      <c r="V1280" s="547"/>
      <c r="W1280" s="549"/>
    </row>
    <row r="1281" spans="1:23">
      <c r="A1281" s="565">
        <v>1975</v>
      </c>
      <c r="B1281" s="696" t="s">
        <v>6688</v>
      </c>
      <c r="C1281" s="566">
        <f t="shared" si="19"/>
        <v>1975</v>
      </c>
      <c r="D1281" s="700" t="s">
        <v>2230</v>
      </c>
      <c r="E1281" s="701" t="s">
        <v>9157</v>
      </c>
      <c r="F1281" s="566">
        <v>1</v>
      </c>
      <c r="G1281" s="662">
        <v>18250.176893195967</v>
      </c>
      <c r="H1281" s="662">
        <v>18752.978746970675</v>
      </c>
      <c r="I1281" s="662">
        <v>19282.252211485589</v>
      </c>
      <c r="J1281" s="662">
        <v>19839.386351772057</v>
      </c>
      <c r="K1281" s="566" t="s">
        <v>2013</v>
      </c>
      <c r="L1281" s="549"/>
      <c r="M1281" s="540"/>
      <c r="O1281" s="540"/>
      <c r="S1281" s="550"/>
      <c r="T1281" s="547"/>
      <c r="U1281" s="547"/>
      <c r="V1281" s="547"/>
      <c r="W1281" s="549"/>
    </row>
    <row r="1282" spans="1:23">
      <c r="A1282" s="565">
        <v>1976</v>
      </c>
      <c r="B1282" s="696" t="s">
        <v>6689</v>
      </c>
      <c r="C1282" s="566">
        <f t="shared" si="19"/>
        <v>1976</v>
      </c>
      <c r="D1282" s="700" t="s">
        <v>2230</v>
      </c>
      <c r="E1282" s="701" t="s">
        <v>9158</v>
      </c>
      <c r="F1282" s="566">
        <v>1</v>
      </c>
      <c r="G1282" s="662">
        <v>17415.629474115955</v>
      </c>
      <c r="H1282" s="662">
        <v>17892.158155012061</v>
      </c>
      <c r="I1282" s="662">
        <v>18393.729694044716</v>
      </c>
      <c r="J1282" s="662">
        <v>18921.73315624526</v>
      </c>
      <c r="K1282" s="566" t="s">
        <v>2014</v>
      </c>
      <c r="L1282" s="549"/>
      <c r="M1282" s="540"/>
      <c r="O1282" s="540"/>
      <c r="S1282" s="550"/>
      <c r="T1282" s="547"/>
      <c r="U1282" s="547"/>
      <c r="V1282" s="547"/>
      <c r="W1282" s="549"/>
    </row>
    <row r="1283" spans="1:23">
      <c r="A1283" s="565">
        <v>1977</v>
      </c>
      <c r="B1283" s="696" t="s">
        <v>6690</v>
      </c>
      <c r="C1283" s="566">
        <f t="shared" si="19"/>
        <v>1977</v>
      </c>
      <c r="D1283" s="700" t="s">
        <v>2230</v>
      </c>
      <c r="E1283" s="701" t="s">
        <v>9159</v>
      </c>
      <c r="F1283" s="566">
        <v>1</v>
      </c>
      <c r="G1283" s="662">
        <v>21440.824832685492</v>
      </c>
      <c r="H1283" s="662">
        <v>22056.458454577758</v>
      </c>
      <c r="I1283" s="662">
        <v>22704.477135486537</v>
      </c>
      <c r="J1283" s="662">
        <v>23386.627128594093</v>
      </c>
      <c r="K1283" s="566" t="s">
        <v>2015</v>
      </c>
      <c r="L1283" s="549"/>
      <c r="M1283" s="540"/>
      <c r="O1283" s="540"/>
      <c r="S1283" s="550"/>
      <c r="T1283" s="547"/>
      <c r="U1283" s="547"/>
      <c r="V1283" s="547"/>
      <c r="W1283" s="549"/>
    </row>
    <row r="1284" spans="1:23">
      <c r="A1284" s="565">
        <v>1978</v>
      </c>
      <c r="B1284" s="696" t="s">
        <v>6691</v>
      </c>
      <c r="C1284" s="566">
        <f t="shared" si="19"/>
        <v>1978</v>
      </c>
      <c r="D1284" s="700" t="s">
        <v>2230</v>
      </c>
      <c r="E1284" s="701" t="s">
        <v>9160</v>
      </c>
      <c r="F1284" s="566">
        <v>1</v>
      </c>
      <c r="G1284" s="662">
        <v>0</v>
      </c>
      <c r="H1284" s="662">
        <v>17346.350600756861</v>
      </c>
      <c r="I1284" s="662">
        <v>0</v>
      </c>
      <c r="J1284" s="662">
        <v>0</v>
      </c>
      <c r="K1284" s="566" t="s">
        <v>4060</v>
      </c>
      <c r="L1284" s="549"/>
      <c r="M1284" s="540"/>
      <c r="O1284" s="540"/>
      <c r="S1284" s="550"/>
      <c r="T1284" s="547"/>
      <c r="U1284" s="547"/>
      <c r="V1284" s="547"/>
      <c r="W1284" s="549"/>
    </row>
    <row r="1285" spans="1:23">
      <c r="A1285" s="565">
        <v>1979</v>
      </c>
      <c r="B1285" s="696" t="s">
        <v>6692</v>
      </c>
      <c r="C1285" s="566">
        <f t="shared" si="19"/>
        <v>1979</v>
      </c>
      <c r="D1285" s="700" t="s">
        <v>2230</v>
      </c>
      <c r="E1285" s="701" t="s">
        <v>9161</v>
      </c>
      <c r="F1285" s="566">
        <v>1</v>
      </c>
      <c r="G1285" s="662">
        <v>0</v>
      </c>
      <c r="H1285" s="662">
        <v>16528.182527761222</v>
      </c>
      <c r="I1285" s="662">
        <v>16986.335862671251</v>
      </c>
      <c r="J1285" s="662">
        <v>17468.619241554366</v>
      </c>
      <c r="K1285" s="566" t="s">
        <v>4061</v>
      </c>
      <c r="L1285" s="549"/>
      <c r="M1285" s="540"/>
      <c r="O1285" s="540"/>
      <c r="S1285" s="550"/>
      <c r="T1285" s="547"/>
      <c r="U1285" s="547"/>
      <c r="V1285" s="547"/>
      <c r="W1285" s="549"/>
    </row>
    <row r="1286" spans="1:23">
      <c r="A1286" s="565">
        <v>1980</v>
      </c>
      <c r="B1286" s="696" t="s">
        <v>6693</v>
      </c>
      <c r="C1286" s="566">
        <f t="shared" si="19"/>
        <v>1980</v>
      </c>
      <c r="D1286" s="700" t="s">
        <v>2230</v>
      </c>
      <c r="E1286" s="701" t="s">
        <v>9162</v>
      </c>
      <c r="F1286" s="566">
        <v>1</v>
      </c>
      <c r="G1286" s="662">
        <v>17529.431394899588</v>
      </c>
      <c r="H1286" s="662">
        <v>18009.53195730488</v>
      </c>
      <c r="I1286" s="662">
        <v>18514.873815708324</v>
      </c>
      <c r="J1286" s="662">
        <v>19046.84603514128</v>
      </c>
      <c r="K1286" s="566" t="s">
        <v>2016</v>
      </c>
      <c r="L1286" s="549"/>
      <c r="M1286" s="540"/>
      <c r="O1286" s="540"/>
      <c r="S1286" s="550"/>
      <c r="T1286" s="547"/>
      <c r="U1286" s="547"/>
      <c r="V1286" s="547"/>
      <c r="W1286" s="549"/>
    </row>
    <row r="1287" spans="1:23">
      <c r="A1287" s="565">
        <v>1981</v>
      </c>
      <c r="B1287" s="696" t="s">
        <v>6694</v>
      </c>
      <c r="C1287" s="566">
        <f t="shared" si="19"/>
        <v>1981</v>
      </c>
      <c r="D1287" s="700" t="s">
        <v>2230</v>
      </c>
      <c r="E1287" s="701" t="s">
        <v>9163</v>
      </c>
      <c r="F1287" s="566">
        <v>1</v>
      </c>
      <c r="G1287" s="662">
        <v>16736.26649246817</v>
      </c>
      <c r="H1287" s="662">
        <v>17191.363884309234</v>
      </c>
      <c r="I1287" s="662">
        <v>17670.392882261767</v>
      </c>
      <c r="J1287" s="662">
        <v>18174.663176212463</v>
      </c>
      <c r="K1287" s="566" t="s">
        <v>2017</v>
      </c>
      <c r="L1287" s="549"/>
      <c r="M1287" s="540"/>
      <c r="O1287" s="540"/>
      <c r="S1287" s="550"/>
      <c r="T1287" s="547"/>
      <c r="U1287" s="547"/>
      <c r="V1287" s="547"/>
      <c r="W1287" s="549"/>
    </row>
    <row r="1288" spans="1:23">
      <c r="A1288" s="565">
        <v>1982</v>
      </c>
      <c r="B1288" s="695" t="s">
        <v>6695</v>
      </c>
      <c r="C1288" s="566">
        <f t="shared" si="19"/>
        <v>1982</v>
      </c>
      <c r="D1288" s="699" t="s">
        <v>2230</v>
      </c>
      <c r="E1288" s="701" t="s">
        <v>9164</v>
      </c>
      <c r="F1288" s="567">
        <v>1</v>
      </c>
      <c r="G1288" s="662">
        <v>18807.16958844689</v>
      </c>
      <c r="H1288" s="662">
        <v>19338.189306144075</v>
      </c>
      <c r="I1288" s="662">
        <v>19897.109387185123</v>
      </c>
      <c r="J1288" s="662">
        <v>20485.4776468907</v>
      </c>
      <c r="K1288" s="568" t="s">
        <v>2018</v>
      </c>
      <c r="L1288" s="549"/>
      <c r="M1288" s="540"/>
      <c r="O1288" s="540"/>
      <c r="S1288" s="550"/>
      <c r="T1288" s="547"/>
      <c r="U1288" s="547"/>
      <c r="V1288" s="547"/>
      <c r="W1288" s="549"/>
    </row>
    <row r="1289" spans="1:23">
      <c r="A1289" s="565">
        <v>1983</v>
      </c>
      <c r="B1289" s="696" t="s">
        <v>6696</v>
      </c>
      <c r="C1289" s="566">
        <f t="shared" ref="C1289:C1352" si="20">A1289</f>
        <v>1983</v>
      </c>
      <c r="D1289" s="700" t="s">
        <v>2230</v>
      </c>
      <c r="E1289" s="701" t="s">
        <v>9165</v>
      </c>
      <c r="F1289" s="566">
        <v>1</v>
      </c>
      <c r="G1289" s="662">
        <v>18020.460359588236</v>
      </c>
      <c r="H1289" s="662">
        <v>18526.1594061426</v>
      </c>
      <c r="I1289" s="662">
        <v>19058.488813726475</v>
      </c>
      <c r="J1289" s="662">
        <v>19618.837647371205</v>
      </c>
      <c r="K1289" s="566" t="s">
        <v>2019</v>
      </c>
      <c r="L1289" s="549"/>
      <c r="M1289" s="540"/>
      <c r="O1289" s="540"/>
      <c r="S1289" s="550"/>
      <c r="T1289" s="547"/>
      <c r="U1289" s="547"/>
      <c r="V1289" s="547"/>
      <c r="W1289" s="549"/>
    </row>
    <row r="1290" spans="1:23">
      <c r="A1290" s="565">
        <v>1984</v>
      </c>
      <c r="B1290" s="696" t="s">
        <v>6697</v>
      </c>
      <c r="C1290" s="566">
        <f t="shared" si="20"/>
        <v>1984</v>
      </c>
      <c r="D1290" s="700" t="s">
        <v>2230</v>
      </c>
      <c r="E1290" s="701" t="s">
        <v>9166</v>
      </c>
      <c r="F1290" s="566">
        <v>1</v>
      </c>
      <c r="G1290" s="662">
        <v>16605.221856414279</v>
      </c>
      <c r="H1290" s="662">
        <v>17056.19174073364</v>
      </c>
      <c r="I1290" s="662">
        <v>19619.731099867688</v>
      </c>
      <c r="J1290" s="662">
        <v>20229.371898339014</v>
      </c>
      <c r="K1290" s="566" t="s">
        <v>2020</v>
      </c>
      <c r="L1290" s="549"/>
      <c r="M1290" s="540"/>
      <c r="O1290" s="540"/>
      <c r="S1290" s="550"/>
      <c r="T1290" s="547"/>
      <c r="U1290" s="547"/>
      <c r="V1290" s="547"/>
      <c r="W1290" s="549"/>
    </row>
    <row r="1291" spans="1:23">
      <c r="A1291" s="565">
        <v>1985</v>
      </c>
      <c r="B1291" s="696" t="s">
        <v>6698</v>
      </c>
      <c r="C1291" s="566">
        <f t="shared" si="20"/>
        <v>1985</v>
      </c>
      <c r="D1291" s="700" t="s">
        <v>2230</v>
      </c>
      <c r="E1291" s="701" t="s">
        <v>9167</v>
      </c>
      <c r="F1291" s="566">
        <v>1</v>
      </c>
      <c r="G1291" s="662">
        <v>15805.159867874754</v>
      </c>
      <c r="H1291" s="662">
        <v>16230.928143768268</v>
      </c>
      <c r="I1291" s="662">
        <v>17784.339412107969</v>
      </c>
      <c r="J1291" s="662">
        <v>18314.287565352392</v>
      </c>
      <c r="K1291" s="566" t="s">
        <v>2021</v>
      </c>
      <c r="L1291" s="549"/>
      <c r="M1291" s="540"/>
      <c r="O1291" s="540"/>
      <c r="S1291" s="550"/>
      <c r="T1291" s="547"/>
      <c r="U1291" s="547"/>
      <c r="V1291" s="547"/>
      <c r="W1291" s="549"/>
    </row>
    <row r="1292" spans="1:23">
      <c r="A1292" s="565">
        <v>1986</v>
      </c>
      <c r="B1292" s="696" t="s">
        <v>6699</v>
      </c>
      <c r="C1292" s="566">
        <f t="shared" si="20"/>
        <v>1986</v>
      </c>
      <c r="D1292" s="700" t="s">
        <v>2230</v>
      </c>
      <c r="E1292" s="701" t="s">
        <v>9168</v>
      </c>
      <c r="F1292" s="566">
        <v>1</v>
      </c>
      <c r="G1292" s="662">
        <v>19681.479923927902</v>
      </c>
      <c r="H1292" s="662">
        <v>20239.177086331951</v>
      </c>
      <c r="I1292" s="662">
        <v>20826.218328218962</v>
      </c>
      <c r="J1292" s="662">
        <v>21444.168241422078</v>
      </c>
      <c r="K1292" s="566" t="s">
        <v>2022</v>
      </c>
      <c r="L1292" s="549"/>
      <c r="M1292" s="540"/>
      <c r="O1292" s="540"/>
      <c r="S1292" s="550"/>
      <c r="T1292" s="547"/>
      <c r="U1292" s="547"/>
      <c r="V1292" s="547"/>
      <c r="W1292" s="549"/>
    </row>
    <row r="1293" spans="1:23">
      <c r="A1293" s="565">
        <v>1987</v>
      </c>
      <c r="B1293" s="696" t="s">
        <v>6700</v>
      </c>
      <c r="C1293" s="566">
        <f t="shared" si="20"/>
        <v>1987</v>
      </c>
      <c r="D1293" s="700" t="s">
        <v>2230</v>
      </c>
      <c r="E1293" s="701" t="s">
        <v>9169</v>
      </c>
      <c r="F1293" s="566">
        <v>1</v>
      </c>
      <c r="G1293" s="662">
        <v>19768.596565948632</v>
      </c>
      <c r="H1293" s="662">
        <v>0</v>
      </c>
      <c r="I1293" s="662">
        <v>0</v>
      </c>
      <c r="J1293" s="662">
        <v>0</v>
      </c>
      <c r="K1293" s="566" t="s">
        <v>5282</v>
      </c>
      <c r="L1293" s="549"/>
      <c r="M1293" s="540"/>
      <c r="O1293" s="540"/>
      <c r="S1293" s="550"/>
      <c r="T1293" s="547"/>
      <c r="U1293" s="547"/>
      <c r="V1293" s="547"/>
      <c r="W1293" s="549"/>
    </row>
    <row r="1294" spans="1:23">
      <c r="A1294" s="565">
        <v>1988</v>
      </c>
      <c r="B1294" s="696" t="s">
        <v>6701</v>
      </c>
      <c r="C1294" s="566">
        <f t="shared" si="20"/>
        <v>1988</v>
      </c>
      <c r="D1294" s="700" t="s">
        <v>2230</v>
      </c>
      <c r="E1294" s="701" t="s">
        <v>9170</v>
      </c>
      <c r="F1294" s="566">
        <v>1</v>
      </c>
      <c r="G1294" s="662">
        <v>18226.081815177648</v>
      </c>
      <c r="H1294" s="662">
        <v>18806.213133696878</v>
      </c>
      <c r="I1294" s="662">
        <v>19416.848838296941</v>
      </c>
      <c r="J1294" s="662">
        <v>20059.632877928296</v>
      </c>
      <c r="K1294" s="566" t="s">
        <v>2023</v>
      </c>
      <c r="L1294" s="549"/>
      <c r="M1294" s="540"/>
      <c r="O1294" s="540"/>
      <c r="S1294" s="550"/>
      <c r="T1294" s="547"/>
      <c r="U1294" s="547"/>
      <c r="V1294" s="547"/>
      <c r="W1294" s="549"/>
    </row>
    <row r="1295" spans="1:23">
      <c r="A1295" s="565">
        <v>1989</v>
      </c>
      <c r="B1295" s="696" t="s">
        <v>6702</v>
      </c>
      <c r="C1295" s="566">
        <f t="shared" si="20"/>
        <v>1989</v>
      </c>
      <c r="D1295" s="700" t="s">
        <v>2230</v>
      </c>
      <c r="E1295" s="701" t="s">
        <v>9171</v>
      </c>
      <c r="F1295" s="566">
        <v>1</v>
      </c>
      <c r="G1295" s="662">
        <v>0</v>
      </c>
      <c r="H1295" s="662">
        <v>0</v>
      </c>
      <c r="I1295" s="662">
        <v>0</v>
      </c>
      <c r="J1295" s="662">
        <v>20618.554989739863</v>
      </c>
      <c r="K1295" s="566" t="s">
        <v>4793</v>
      </c>
      <c r="L1295" s="549"/>
      <c r="M1295" s="540"/>
      <c r="O1295" s="540"/>
      <c r="S1295" s="550"/>
      <c r="T1295" s="547"/>
      <c r="U1295" s="547"/>
      <c r="V1295" s="547"/>
      <c r="W1295" s="549"/>
    </row>
    <row r="1296" spans="1:23">
      <c r="A1296" s="565">
        <v>1990</v>
      </c>
      <c r="B1296" s="696" t="s">
        <v>6703</v>
      </c>
      <c r="C1296" s="566">
        <f t="shared" si="20"/>
        <v>1990</v>
      </c>
      <c r="D1296" s="700" t="s">
        <v>2230</v>
      </c>
      <c r="E1296" s="701" t="s">
        <v>9172</v>
      </c>
      <c r="F1296" s="566">
        <v>1</v>
      </c>
      <c r="G1296" s="662">
        <v>19554.786014949568</v>
      </c>
      <c r="H1296" s="662">
        <v>20183.28596481133</v>
      </c>
      <c r="I1296" s="662">
        <v>22274.242901005713</v>
      </c>
      <c r="J1296" s="662">
        <v>23045.876006154529</v>
      </c>
      <c r="K1296" s="566" t="s">
        <v>2024</v>
      </c>
      <c r="L1296" s="549"/>
      <c r="M1296" s="540"/>
      <c r="O1296" s="540"/>
      <c r="S1296" s="550"/>
      <c r="T1296" s="547"/>
      <c r="U1296" s="547"/>
      <c r="V1296" s="547"/>
      <c r="W1296" s="549"/>
    </row>
    <row r="1297" spans="1:23">
      <c r="A1297" s="565">
        <v>1991</v>
      </c>
      <c r="B1297" s="696" t="s">
        <v>6704</v>
      </c>
      <c r="C1297" s="566">
        <f t="shared" si="20"/>
        <v>1991</v>
      </c>
      <c r="D1297" s="700" t="s">
        <v>2230</v>
      </c>
      <c r="E1297" s="701" t="s">
        <v>9173</v>
      </c>
      <c r="F1297" s="566">
        <v>1</v>
      </c>
      <c r="G1297" s="662">
        <v>0</v>
      </c>
      <c r="H1297" s="662">
        <v>0</v>
      </c>
      <c r="I1297" s="662">
        <v>0</v>
      </c>
      <c r="J1297" s="662">
        <v>21688.200340583251</v>
      </c>
      <c r="K1297" s="566" t="s">
        <v>4794</v>
      </c>
      <c r="L1297" s="549"/>
      <c r="M1297" s="540"/>
      <c r="O1297" s="540"/>
      <c r="S1297" s="550"/>
      <c r="T1297" s="547"/>
      <c r="U1297" s="547"/>
      <c r="V1297" s="547"/>
      <c r="W1297" s="549"/>
    </row>
    <row r="1298" spans="1:23">
      <c r="A1298" s="565">
        <v>1992</v>
      </c>
      <c r="B1298" s="696" t="s">
        <v>6705</v>
      </c>
      <c r="C1298" s="566">
        <f t="shared" si="20"/>
        <v>1992</v>
      </c>
      <c r="D1298" s="700" t="s">
        <v>2230</v>
      </c>
      <c r="E1298" s="701" t="s">
        <v>9174</v>
      </c>
      <c r="F1298" s="566">
        <v>1</v>
      </c>
      <c r="G1298" s="662">
        <v>0</v>
      </c>
      <c r="H1298" s="662">
        <v>22044.748790864382</v>
      </c>
      <c r="I1298" s="662">
        <v>22715.991413438209</v>
      </c>
      <c r="J1298" s="662">
        <v>23422.560672347558</v>
      </c>
      <c r="K1298" s="566" t="s">
        <v>3134</v>
      </c>
      <c r="L1298" s="549"/>
      <c r="M1298" s="540"/>
      <c r="O1298" s="540"/>
      <c r="S1298" s="550"/>
      <c r="T1298" s="547"/>
      <c r="U1298" s="547"/>
      <c r="V1298" s="547"/>
      <c r="W1298" s="549"/>
    </row>
    <row r="1299" spans="1:23">
      <c r="A1299" s="565">
        <v>1993</v>
      </c>
      <c r="B1299" s="696" t="s">
        <v>6706</v>
      </c>
      <c r="C1299" s="566">
        <f t="shared" si="20"/>
        <v>1993</v>
      </c>
      <c r="D1299" s="700" t="s">
        <v>2230</v>
      </c>
      <c r="E1299" s="701" t="s">
        <v>9175</v>
      </c>
      <c r="F1299" s="566">
        <v>1</v>
      </c>
      <c r="G1299" s="662">
        <v>16335.36901799212</v>
      </c>
      <c r="H1299" s="662">
        <v>16846.673673785266</v>
      </c>
      <c r="I1299" s="662">
        <v>17384.866027968223</v>
      </c>
      <c r="J1299" s="662">
        <v>17951.407368496952</v>
      </c>
      <c r="K1299" s="566" t="s">
        <v>2025</v>
      </c>
      <c r="L1299" s="549"/>
      <c r="M1299" s="540"/>
      <c r="O1299" s="540"/>
      <c r="S1299" s="550"/>
      <c r="T1299" s="547"/>
      <c r="U1299" s="547"/>
      <c r="V1299" s="547"/>
      <c r="W1299" s="549"/>
    </row>
    <row r="1300" spans="1:23">
      <c r="A1300" s="565">
        <v>1994</v>
      </c>
      <c r="B1300" s="696" t="s">
        <v>6707</v>
      </c>
      <c r="C1300" s="566">
        <f t="shared" si="20"/>
        <v>1994</v>
      </c>
      <c r="D1300" s="700" t="s">
        <v>2230</v>
      </c>
      <c r="E1300" s="701" t="s">
        <v>9176</v>
      </c>
      <c r="F1300" s="566">
        <v>1</v>
      </c>
      <c r="G1300" s="662">
        <v>0</v>
      </c>
      <c r="H1300" s="662">
        <v>0</v>
      </c>
      <c r="I1300" s="662">
        <v>17762.95065033315</v>
      </c>
      <c r="J1300" s="662">
        <v>18269.578497589213</v>
      </c>
      <c r="K1300" s="566" t="s">
        <v>4062</v>
      </c>
      <c r="L1300" s="549"/>
      <c r="M1300" s="540"/>
      <c r="O1300" s="540"/>
      <c r="S1300" s="550"/>
      <c r="T1300" s="547"/>
      <c r="U1300" s="547"/>
      <c r="V1300" s="547"/>
      <c r="W1300" s="549"/>
    </row>
    <row r="1301" spans="1:23">
      <c r="A1301" s="565">
        <v>1995</v>
      </c>
      <c r="B1301" s="696" t="s">
        <v>6708</v>
      </c>
      <c r="C1301" s="566">
        <f t="shared" si="20"/>
        <v>1995</v>
      </c>
      <c r="D1301" s="700" t="s">
        <v>2230</v>
      </c>
      <c r="E1301" s="701" t="s">
        <v>9177</v>
      </c>
      <c r="F1301" s="566">
        <v>1</v>
      </c>
      <c r="G1301" s="662">
        <v>11291.030192325778</v>
      </c>
      <c r="H1301" s="662">
        <v>11586.241843609503</v>
      </c>
      <c r="I1301" s="662">
        <v>0</v>
      </c>
      <c r="J1301" s="662">
        <v>0</v>
      </c>
      <c r="K1301" s="566" t="s">
        <v>2026</v>
      </c>
      <c r="L1301" s="549"/>
      <c r="M1301" s="540"/>
      <c r="O1301" s="540"/>
      <c r="S1301" s="550"/>
      <c r="T1301" s="547"/>
      <c r="U1301" s="547"/>
      <c r="V1301" s="547"/>
      <c r="W1301" s="549"/>
    </row>
    <row r="1302" spans="1:23">
      <c r="A1302" s="565">
        <v>1996</v>
      </c>
      <c r="B1302" s="696" t="s">
        <v>6709</v>
      </c>
      <c r="C1302" s="566">
        <f t="shared" si="20"/>
        <v>1996</v>
      </c>
      <c r="D1302" s="700" t="s">
        <v>2230</v>
      </c>
      <c r="E1302" s="701" t="s">
        <v>9178</v>
      </c>
      <c r="F1302" s="566">
        <v>1</v>
      </c>
      <c r="G1302" s="662">
        <v>12148.588486034199</v>
      </c>
      <c r="H1302" s="662">
        <v>12471.913921665477</v>
      </c>
      <c r="I1302" s="662">
        <v>12812.222654219107</v>
      </c>
      <c r="J1302" s="662">
        <v>13170.461959220636</v>
      </c>
      <c r="K1302" s="566" t="s">
        <v>2027</v>
      </c>
      <c r="L1302" s="549"/>
      <c r="M1302" s="540"/>
      <c r="O1302" s="540"/>
      <c r="S1302" s="550"/>
      <c r="T1302" s="547"/>
      <c r="U1302" s="547"/>
      <c r="V1302" s="547"/>
      <c r="W1302" s="549"/>
    </row>
    <row r="1303" spans="1:23">
      <c r="A1303" s="565">
        <v>1997</v>
      </c>
      <c r="B1303" s="696" t="s">
        <v>6710</v>
      </c>
      <c r="C1303" s="566">
        <f t="shared" si="20"/>
        <v>1997</v>
      </c>
      <c r="D1303" s="700" t="s">
        <v>2230</v>
      </c>
      <c r="E1303" s="701" t="s">
        <v>9179</v>
      </c>
      <c r="F1303" s="566">
        <v>1</v>
      </c>
      <c r="G1303" s="662">
        <v>10179.771214113964</v>
      </c>
      <c r="H1303" s="662">
        <v>10433.505729886132</v>
      </c>
      <c r="I1303" s="662">
        <v>10700.56976555353</v>
      </c>
      <c r="J1303" s="662">
        <v>10981.707609029087</v>
      </c>
      <c r="K1303" s="566" t="s">
        <v>2028</v>
      </c>
      <c r="L1303" s="549"/>
      <c r="M1303" s="540"/>
      <c r="O1303" s="540"/>
      <c r="S1303" s="550"/>
      <c r="T1303" s="547"/>
      <c r="U1303" s="547"/>
      <c r="V1303" s="547"/>
      <c r="W1303" s="549"/>
    </row>
    <row r="1304" spans="1:23">
      <c r="A1304" s="565">
        <v>1998</v>
      </c>
      <c r="B1304" s="696" t="s">
        <v>6711</v>
      </c>
      <c r="C1304" s="566">
        <f t="shared" si="20"/>
        <v>1998</v>
      </c>
      <c r="D1304" s="700" t="s">
        <v>2230</v>
      </c>
      <c r="E1304" s="701" t="s">
        <v>9180</v>
      </c>
      <c r="F1304" s="566">
        <v>1</v>
      </c>
      <c r="G1304" s="662">
        <v>11291.030192325778</v>
      </c>
      <c r="H1304" s="662">
        <v>11586.241843609503</v>
      </c>
      <c r="I1304" s="662">
        <v>11896.982047258489</v>
      </c>
      <c r="J1304" s="662">
        <v>12224.062753723192</v>
      </c>
      <c r="K1304" s="566" t="s">
        <v>2029</v>
      </c>
      <c r="L1304" s="549"/>
      <c r="M1304" s="540"/>
      <c r="O1304" s="540"/>
      <c r="S1304" s="550"/>
      <c r="T1304" s="547"/>
      <c r="U1304" s="547"/>
      <c r="V1304" s="547"/>
      <c r="W1304" s="549"/>
    </row>
    <row r="1305" spans="1:23">
      <c r="A1305" s="565">
        <v>1999</v>
      </c>
      <c r="B1305" s="696" t="s">
        <v>6712</v>
      </c>
      <c r="C1305" s="566">
        <f t="shared" si="20"/>
        <v>1999</v>
      </c>
      <c r="D1305" s="700" t="s">
        <v>2230</v>
      </c>
      <c r="E1305" s="701" t="s">
        <v>9181</v>
      </c>
      <c r="F1305" s="566">
        <v>1</v>
      </c>
      <c r="G1305" s="662">
        <v>0</v>
      </c>
      <c r="H1305" s="662">
        <v>0</v>
      </c>
      <c r="I1305" s="662">
        <v>0</v>
      </c>
      <c r="J1305" s="662">
        <v>22942.135429530077</v>
      </c>
      <c r="K1305" s="566" t="s">
        <v>4795</v>
      </c>
      <c r="L1305" s="549"/>
      <c r="M1305" s="540"/>
      <c r="O1305" s="540"/>
      <c r="S1305" s="550"/>
      <c r="T1305" s="547"/>
      <c r="U1305" s="547"/>
      <c r="V1305" s="547"/>
      <c r="W1305" s="549"/>
    </row>
    <row r="1306" spans="1:23">
      <c r="A1306" s="565">
        <v>2000</v>
      </c>
      <c r="B1306" s="696" t="s">
        <v>6713</v>
      </c>
      <c r="C1306" s="566">
        <f t="shared" si="20"/>
        <v>2000</v>
      </c>
      <c r="D1306" s="700" t="s">
        <v>2230</v>
      </c>
      <c r="E1306" s="701" t="s">
        <v>9182</v>
      </c>
      <c r="F1306" s="566">
        <v>1</v>
      </c>
      <c r="G1306" s="662">
        <v>20638.695202939849</v>
      </c>
      <c r="H1306" s="662">
        <v>21299.690612294857</v>
      </c>
      <c r="I1306" s="662">
        <v>21995.447508508885</v>
      </c>
      <c r="J1306" s="662">
        <v>22727.857462231725</v>
      </c>
      <c r="K1306" s="566" t="s">
        <v>2030</v>
      </c>
      <c r="L1306" s="549"/>
      <c r="M1306" s="540"/>
      <c r="O1306" s="540"/>
      <c r="S1306" s="550"/>
      <c r="T1306" s="547"/>
      <c r="U1306" s="547"/>
      <c r="V1306" s="547"/>
      <c r="W1306" s="549"/>
    </row>
    <row r="1307" spans="1:23">
      <c r="A1307" s="565">
        <v>2001</v>
      </c>
      <c r="B1307" s="696" t="s">
        <v>6714</v>
      </c>
      <c r="C1307" s="566">
        <f t="shared" si="20"/>
        <v>2001</v>
      </c>
      <c r="D1307" s="700" t="s">
        <v>2230</v>
      </c>
      <c r="E1307" s="701" t="s">
        <v>9183</v>
      </c>
      <c r="F1307" s="566">
        <v>1</v>
      </c>
      <c r="G1307" s="662">
        <v>17844.674899858139</v>
      </c>
      <c r="H1307" s="662">
        <v>18423.371481270369</v>
      </c>
      <c r="I1307" s="662">
        <v>19032.48823985361</v>
      </c>
      <c r="J1307" s="662">
        <v>19673.699680773243</v>
      </c>
      <c r="K1307" s="566" t="s">
        <v>2031</v>
      </c>
      <c r="L1307" s="549"/>
      <c r="M1307" s="540"/>
      <c r="O1307" s="540"/>
      <c r="S1307" s="550"/>
      <c r="T1307" s="547"/>
      <c r="U1307" s="547"/>
      <c r="V1307" s="547"/>
      <c r="W1307" s="549"/>
    </row>
    <row r="1308" spans="1:23">
      <c r="A1308" s="565">
        <v>2002</v>
      </c>
      <c r="B1308" s="696" t="s">
        <v>6715</v>
      </c>
      <c r="C1308" s="566">
        <f t="shared" si="20"/>
        <v>2002</v>
      </c>
      <c r="D1308" s="700" t="s">
        <v>2230</v>
      </c>
      <c r="E1308" s="701" t="s">
        <v>9184</v>
      </c>
      <c r="F1308" s="566">
        <v>1</v>
      </c>
      <c r="G1308" s="662">
        <v>24133.368255540387</v>
      </c>
      <c r="H1308" s="662">
        <v>24947.146756558555</v>
      </c>
      <c r="I1308" s="662">
        <v>25803.749176713503</v>
      </c>
      <c r="J1308" s="662">
        <v>26705.439198913966</v>
      </c>
      <c r="K1308" s="566" t="s">
        <v>2032</v>
      </c>
      <c r="L1308" s="549"/>
      <c r="M1308" s="540"/>
      <c r="O1308" s="540"/>
      <c r="S1308" s="550"/>
      <c r="T1308" s="547"/>
      <c r="U1308" s="547"/>
      <c r="V1308" s="547"/>
      <c r="W1308" s="549"/>
    </row>
    <row r="1309" spans="1:23">
      <c r="A1309" s="565">
        <v>2003</v>
      </c>
      <c r="B1309" s="696" t="s">
        <v>6716</v>
      </c>
      <c r="C1309" s="566">
        <f t="shared" si="20"/>
        <v>2003</v>
      </c>
      <c r="D1309" s="700" t="s">
        <v>2230</v>
      </c>
      <c r="E1309" s="701" t="s">
        <v>9185</v>
      </c>
      <c r="F1309" s="566">
        <v>1</v>
      </c>
      <c r="G1309" s="662">
        <v>0</v>
      </c>
      <c r="H1309" s="662">
        <v>21307.466198791881</v>
      </c>
      <c r="I1309" s="662">
        <v>21978.903996990615</v>
      </c>
      <c r="J1309" s="662">
        <v>22685.670874443291</v>
      </c>
      <c r="K1309" s="566" t="s">
        <v>3135</v>
      </c>
      <c r="L1309" s="549"/>
      <c r="M1309" s="540"/>
      <c r="O1309" s="540"/>
      <c r="S1309" s="550"/>
      <c r="T1309" s="547"/>
      <c r="U1309" s="547"/>
      <c r="V1309" s="547"/>
      <c r="W1309" s="549"/>
    </row>
    <row r="1310" spans="1:23">
      <c r="A1310" s="565">
        <v>2004</v>
      </c>
      <c r="B1310" s="696" t="s">
        <v>6717</v>
      </c>
      <c r="C1310" s="566">
        <f t="shared" si="20"/>
        <v>2004</v>
      </c>
      <c r="D1310" s="700" t="s">
        <v>2230</v>
      </c>
      <c r="E1310" s="701" t="s">
        <v>9186</v>
      </c>
      <c r="F1310" s="566">
        <v>1</v>
      </c>
      <c r="G1310" s="662">
        <v>21923.475150431215</v>
      </c>
      <c r="H1310" s="662">
        <v>22661.865259663646</v>
      </c>
      <c r="I1310" s="662">
        <v>0</v>
      </c>
      <c r="J1310" s="662">
        <v>0</v>
      </c>
      <c r="K1310" s="566" t="s">
        <v>2033</v>
      </c>
      <c r="L1310" s="549"/>
      <c r="M1310" s="540"/>
      <c r="O1310" s="540"/>
      <c r="S1310" s="550"/>
      <c r="T1310" s="547"/>
      <c r="U1310" s="547"/>
      <c r="V1310" s="547"/>
      <c r="W1310" s="549"/>
    </row>
    <row r="1311" spans="1:23">
      <c r="A1311" s="565">
        <v>2005</v>
      </c>
      <c r="B1311" s="696" t="s">
        <v>6718</v>
      </c>
      <c r="C1311" s="566">
        <f t="shared" si="20"/>
        <v>2005</v>
      </c>
      <c r="D1311" s="700" t="s">
        <v>2230</v>
      </c>
      <c r="E1311" s="701" t="s">
        <v>9187</v>
      </c>
      <c r="F1311" s="566">
        <v>1</v>
      </c>
      <c r="G1311" s="662">
        <v>19447.793515279624</v>
      </c>
      <c r="H1311" s="662">
        <v>20092.549211664184</v>
      </c>
      <c r="I1311" s="662">
        <v>0</v>
      </c>
      <c r="J1311" s="662">
        <v>0</v>
      </c>
      <c r="K1311" s="566" t="s">
        <v>2034</v>
      </c>
      <c r="L1311" s="549"/>
      <c r="M1311" s="540"/>
      <c r="O1311" s="540"/>
      <c r="S1311" s="550"/>
      <c r="T1311" s="547"/>
      <c r="U1311" s="547"/>
      <c r="V1311" s="547"/>
      <c r="W1311" s="549"/>
    </row>
    <row r="1312" spans="1:23">
      <c r="A1312" s="565">
        <v>2006</v>
      </c>
      <c r="B1312" s="696" t="s">
        <v>6719</v>
      </c>
      <c r="C1312" s="566">
        <f t="shared" si="20"/>
        <v>2006</v>
      </c>
      <c r="D1312" s="700" t="s">
        <v>2230</v>
      </c>
      <c r="E1312" s="701" t="s">
        <v>9188</v>
      </c>
      <c r="F1312" s="566">
        <v>1</v>
      </c>
      <c r="G1312" s="662">
        <v>19447.762633217331</v>
      </c>
      <c r="H1312" s="662">
        <v>0</v>
      </c>
      <c r="I1312" s="662">
        <v>0</v>
      </c>
      <c r="J1312" s="662">
        <v>0</v>
      </c>
      <c r="K1312" s="566" t="s">
        <v>5283</v>
      </c>
      <c r="L1312" s="549"/>
      <c r="M1312" s="540"/>
      <c r="O1312" s="540"/>
      <c r="S1312" s="550"/>
      <c r="T1312" s="547"/>
      <c r="U1312" s="547"/>
      <c r="V1312" s="547"/>
      <c r="W1312" s="549"/>
    </row>
    <row r="1313" spans="1:23">
      <c r="A1313" s="565">
        <v>2007</v>
      </c>
      <c r="B1313" s="696" t="s">
        <v>6720</v>
      </c>
      <c r="C1313" s="566">
        <f t="shared" si="20"/>
        <v>2007</v>
      </c>
      <c r="D1313" s="700" t="s">
        <v>2230</v>
      </c>
      <c r="E1313" s="701" t="s">
        <v>9189</v>
      </c>
      <c r="F1313" s="566">
        <v>1</v>
      </c>
      <c r="G1313" s="662">
        <v>0</v>
      </c>
      <c r="H1313" s="662">
        <v>24190.388582921361</v>
      </c>
      <c r="I1313" s="662">
        <v>24964.200417594599</v>
      </c>
      <c r="J1313" s="662">
        <v>25778.776574483934</v>
      </c>
      <c r="K1313" s="566" t="s">
        <v>3136</v>
      </c>
      <c r="L1313" s="549"/>
      <c r="M1313" s="540"/>
      <c r="O1313" s="540"/>
      <c r="S1313" s="550"/>
      <c r="T1313" s="547"/>
      <c r="U1313" s="547"/>
      <c r="V1313" s="547"/>
      <c r="W1313" s="549"/>
    </row>
    <row r="1314" spans="1:23">
      <c r="A1314" s="565">
        <v>2008</v>
      </c>
      <c r="B1314" s="696" t="s">
        <v>6721</v>
      </c>
      <c r="C1314" s="566">
        <f t="shared" si="20"/>
        <v>2008</v>
      </c>
      <c r="D1314" s="700" t="s">
        <v>2230</v>
      </c>
      <c r="E1314" s="701" t="s">
        <v>9190</v>
      </c>
      <c r="F1314" s="566">
        <v>1</v>
      </c>
      <c r="G1314" s="662">
        <v>28574.339163981105</v>
      </c>
      <c r="H1314" s="662">
        <v>29235.380443289541</v>
      </c>
      <c r="I1314" s="662">
        <v>29931.219378575737</v>
      </c>
      <c r="J1314" s="662">
        <v>30663.711464210941</v>
      </c>
      <c r="K1314" s="566" t="s">
        <v>2035</v>
      </c>
      <c r="L1314" s="549"/>
      <c r="M1314" s="540"/>
      <c r="O1314" s="540"/>
      <c r="S1314" s="550"/>
      <c r="T1314" s="547"/>
      <c r="U1314" s="547"/>
      <c r="V1314" s="547"/>
      <c r="W1314" s="549"/>
    </row>
    <row r="1315" spans="1:23">
      <c r="A1315" s="565">
        <v>2009</v>
      </c>
      <c r="B1315" s="696" t="s">
        <v>6722</v>
      </c>
      <c r="C1315" s="566">
        <f t="shared" si="20"/>
        <v>2009</v>
      </c>
      <c r="D1315" s="700" t="s">
        <v>4583</v>
      </c>
      <c r="E1315" s="701" t="s">
        <v>9191</v>
      </c>
      <c r="F1315" s="566">
        <v>1</v>
      </c>
      <c r="G1315" s="662">
        <v>0</v>
      </c>
      <c r="H1315" s="662">
        <v>0</v>
      </c>
      <c r="I1315" s="662">
        <v>0</v>
      </c>
      <c r="J1315" s="662">
        <v>17645.357830274974</v>
      </c>
      <c r="K1315" s="566" t="s">
        <v>4796</v>
      </c>
      <c r="L1315" s="549"/>
      <c r="M1315" s="540"/>
      <c r="O1315" s="540"/>
      <c r="S1315" s="550"/>
      <c r="T1315" s="547"/>
      <c r="U1315" s="547"/>
      <c r="V1315" s="547"/>
      <c r="W1315" s="549"/>
    </row>
    <row r="1316" spans="1:23">
      <c r="A1316" s="565">
        <v>2010</v>
      </c>
      <c r="B1316" s="695" t="s">
        <v>6723</v>
      </c>
      <c r="C1316" s="566">
        <f t="shared" si="20"/>
        <v>2010</v>
      </c>
      <c r="D1316" s="699" t="s">
        <v>3137</v>
      </c>
      <c r="E1316" s="701" t="s">
        <v>9192</v>
      </c>
      <c r="F1316" s="567">
        <v>1</v>
      </c>
      <c r="G1316" s="662">
        <v>0</v>
      </c>
      <c r="H1316" s="662">
        <v>21221.834683872639</v>
      </c>
      <c r="I1316" s="662">
        <v>0</v>
      </c>
      <c r="J1316" s="662">
        <v>0</v>
      </c>
      <c r="K1316" s="568" t="s">
        <v>4063</v>
      </c>
      <c r="L1316" s="549"/>
      <c r="M1316" s="540"/>
      <c r="O1316" s="540"/>
      <c r="S1316" s="550"/>
      <c r="T1316" s="547"/>
      <c r="U1316" s="547"/>
      <c r="V1316" s="547"/>
      <c r="W1316" s="549"/>
    </row>
    <row r="1317" spans="1:23">
      <c r="A1317" s="565">
        <v>2011</v>
      </c>
      <c r="B1317" s="695" t="s">
        <v>6724</v>
      </c>
      <c r="C1317" s="566">
        <f t="shared" si="20"/>
        <v>2011</v>
      </c>
      <c r="D1317" s="699" t="s">
        <v>3137</v>
      </c>
      <c r="E1317" s="701" t="s">
        <v>9193</v>
      </c>
      <c r="F1317" s="567">
        <v>1</v>
      </c>
      <c r="G1317" s="662">
        <v>0</v>
      </c>
      <c r="H1317" s="662">
        <v>0</v>
      </c>
      <c r="I1317" s="662">
        <v>31982.263618324137</v>
      </c>
      <c r="J1317" s="662">
        <v>32733.158124990441</v>
      </c>
      <c r="K1317" s="568" t="s">
        <v>4064</v>
      </c>
      <c r="L1317" s="549"/>
      <c r="M1317" s="540"/>
      <c r="O1317" s="540"/>
      <c r="S1317" s="550"/>
      <c r="T1317" s="547"/>
      <c r="U1317" s="547"/>
      <c r="V1317" s="547"/>
      <c r="W1317" s="549"/>
    </row>
    <row r="1318" spans="1:23">
      <c r="A1318" s="565">
        <v>2012</v>
      </c>
      <c r="B1318" s="695" t="s">
        <v>6725</v>
      </c>
      <c r="C1318" s="566">
        <f t="shared" si="20"/>
        <v>2012</v>
      </c>
      <c r="D1318" s="699" t="s">
        <v>3137</v>
      </c>
      <c r="E1318" s="701" t="s">
        <v>9194</v>
      </c>
      <c r="F1318" s="567">
        <v>1</v>
      </c>
      <c r="G1318" s="662">
        <v>0</v>
      </c>
      <c r="H1318" s="662">
        <v>0</v>
      </c>
      <c r="I1318" s="662">
        <v>33218.688479472534</v>
      </c>
      <c r="J1318" s="662">
        <v>34000.849827568665</v>
      </c>
      <c r="K1318" s="568" t="s">
        <v>4065</v>
      </c>
      <c r="L1318" s="549"/>
      <c r="M1318" s="540"/>
      <c r="O1318" s="540"/>
      <c r="S1318" s="550"/>
      <c r="T1318" s="547"/>
      <c r="U1318" s="547"/>
      <c r="V1318" s="547"/>
      <c r="W1318" s="549"/>
    </row>
    <row r="1319" spans="1:23">
      <c r="A1319" s="565">
        <v>2013</v>
      </c>
      <c r="B1319" s="696" t="s">
        <v>6726</v>
      </c>
      <c r="C1319" s="566">
        <f t="shared" si="20"/>
        <v>2013</v>
      </c>
      <c r="D1319" s="700" t="s">
        <v>3137</v>
      </c>
      <c r="E1319" s="701" t="s">
        <v>9195</v>
      </c>
      <c r="F1319" s="566">
        <v>1</v>
      </c>
      <c r="G1319" s="662">
        <v>0</v>
      </c>
      <c r="H1319" s="662">
        <v>37054.653681655494</v>
      </c>
      <c r="I1319" s="662">
        <v>37958.525641686538</v>
      </c>
      <c r="J1319" s="662">
        <v>38909.976757886121</v>
      </c>
      <c r="K1319" s="566" t="s">
        <v>3138</v>
      </c>
      <c r="L1319" s="549"/>
      <c r="M1319" s="540"/>
      <c r="O1319" s="540"/>
      <c r="S1319" s="550"/>
      <c r="T1319" s="547"/>
      <c r="U1319" s="547"/>
      <c r="V1319" s="547"/>
      <c r="W1319" s="549"/>
    </row>
    <row r="1320" spans="1:23">
      <c r="A1320" s="565">
        <v>2014</v>
      </c>
      <c r="B1320" s="696" t="s">
        <v>6727</v>
      </c>
      <c r="C1320" s="566">
        <f t="shared" si="20"/>
        <v>2014</v>
      </c>
      <c r="D1320" s="700" t="s">
        <v>3137</v>
      </c>
      <c r="E1320" s="701" t="s">
        <v>9196</v>
      </c>
      <c r="F1320" s="566">
        <v>1</v>
      </c>
      <c r="G1320" s="662">
        <v>0</v>
      </c>
      <c r="H1320" s="662">
        <v>0</v>
      </c>
      <c r="I1320" s="662">
        <v>28414.294733295897</v>
      </c>
      <c r="J1320" s="662">
        <v>29074.971767465042</v>
      </c>
      <c r="K1320" s="566" t="s">
        <v>4066</v>
      </c>
      <c r="L1320" s="549"/>
      <c r="M1320" s="540"/>
      <c r="O1320" s="540"/>
      <c r="S1320" s="550"/>
      <c r="T1320" s="547"/>
      <c r="U1320" s="547"/>
      <c r="V1320" s="547"/>
      <c r="W1320" s="549"/>
    </row>
    <row r="1321" spans="1:23">
      <c r="A1321" s="565">
        <v>2015</v>
      </c>
      <c r="B1321" s="696" t="s">
        <v>6728</v>
      </c>
      <c r="C1321" s="566">
        <f t="shared" si="20"/>
        <v>2015</v>
      </c>
      <c r="D1321" s="700" t="s">
        <v>3137</v>
      </c>
      <c r="E1321" s="701" t="s">
        <v>9197</v>
      </c>
      <c r="F1321" s="566">
        <v>1</v>
      </c>
      <c r="G1321" s="662">
        <v>0</v>
      </c>
      <c r="H1321" s="662">
        <v>21451.456443800202</v>
      </c>
      <c r="I1321" s="662">
        <v>21936.054769627826</v>
      </c>
      <c r="J1321" s="662">
        <v>22446.168195850219</v>
      </c>
      <c r="K1321" s="566" t="s">
        <v>3139</v>
      </c>
      <c r="L1321" s="549"/>
      <c r="M1321" s="540"/>
      <c r="O1321" s="540"/>
      <c r="S1321" s="550"/>
      <c r="T1321" s="547"/>
      <c r="U1321" s="547"/>
      <c r="V1321" s="547"/>
      <c r="W1321" s="549"/>
    </row>
    <row r="1322" spans="1:23">
      <c r="A1322" s="565">
        <v>2016</v>
      </c>
      <c r="B1322" s="696" t="s">
        <v>6729</v>
      </c>
      <c r="C1322" s="566">
        <f t="shared" si="20"/>
        <v>2016</v>
      </c>
      <c r="D1322" s="700" t="s">
        <v>3137</v>
      </c>
      <c r="E1322" s="701" t="s">
        <v>9198</v>
      </c>
      <c r="F1322" s="566">
        <v>1</v>
      </c>
      <c r="G1322" s="662">
        <v>0</v>
      </c>
      <c r="H1322" s="662">
        <v>24047.948652211839</v>
      </c>
      <c r="I1322" s="662">
        <v>24598.192258508228</v>
      </c>
      <c r="J1322" s="662">
        <v>25177.420867987752</v>
      </c>
      <c r="K1322" s="566" t="s">
        <v>3140</v>
      </c>
      <c r="L1322" s="549"/>
      <c r="M1322" s="540"/>
      <c r="O1322" s="540"/>
      <c r="S1322" s="550"/>
      <c r="T1322" s="547"/>
      <c r="U1322" s="547"/>
      <c r="V1322" s="547"/>
      <c r="W1322" s="549"/>
    </row>
    <row r="1323" spans="1:23">
      <c r="A1323" s="565">
        <v>2017</v>
      </c>
      <c r="B1323" s="696" t="s">
        <v>6730</v>
      </c>
      <c r="C1323" s="566">
        <f t="shared" si="20"/>
        <v>2017</v>
      </c>
      <c r="D1323" s="700" t="s">
        <v>3137</v>
      </c>
      <c r="E1323" s="701" t="s">
        <v>9199</v>
      </c>
      <c r="F1323" s="566">
        <v>1</v>
      </c>
      <c r="G1323" s="662">
        <v>0</v>
      </c>
      <c r="H1323" s="662">
        <v>0</v>
      </c>
      <c r="I1323" s="662">
        <v>40214.309879582637</v>
      </c>
      <c r="J1323" s="662">
        <v>41592.14319923595</v>
      </c>
      <c r="K1323" s="566" t="s">
        <v>4067</v>
      </c>
      <c r="L1323" s="549"/>
      <c r="M1323" s="540"/>
      <c r="O1323" s="540"/>
      <c r="S1323" s="550"/>
      <c r="T1323" s="547"/>
      <c r="U1323" s="547"/>
      <c r="V1323" s="547"/>
      <c r="W1323" s="549"/>
    </row>
    <row r="1324" spans="1:23">
      <c r="A1324" s="565">
        <v>2018</v>
      </c>
      <c r="B1324" s="696" t="s">
        <v>6731</v>
      </c>
      <c r="C1324" s="566">
        <f t="shared" si="20"/>
        <v>2018</v>
      </c>
      <c r="D1324" s="700" t="s">
        <v>3137</v>
      </c>
      <c r="E1324" s="701" t="s">
        <v>9200</v>
      </c>
      <c r="F1324" s="566">
        <v>1</v>
      </c>
      <c r="G1324" s="662">
        <v>0</v>
      </c>
      <c r="H1324" s="662">
        <v>0</v>
      </c>
      <c r="I1324" s="662">
        <v>37016.212274642865</v>
      </c>
      <c r="J1324" s="662">
        <v>38277.849710080976</v>
      </c>
      <c r="K1324" s="566" t="s">
        <v>4068</v>
      </c>
      <c r="L1324" s="549"/>
      <c r="M1324" s="540"/>
      <c r="O1324" s="540"/>
      <c r="S1324" s="550"/>
      <c r="T1324" s="547"/>
      <c r="U1324" s="547"/>
      <c r="V1324" s="547"/>
      <c r="W1324" s="549"/>
    </row>
    <row r="1325" spans="1:23">
      <c r="A1325" s="565">
        <v>2019</v>
      </c>
      <c r="B1325" s="696" t="s">
        <v>6732</v>
      </c>
      <c r="C1325" s="566">
        <f t="shared" si="20"/>
        <v>2019</v>
      </c>
      <c r="D1325" s="700" t="s">
        <v>3137</v>
      </c>
      <c r="E1325" s="701" t="s">
        <v>9201</v>
      </c>
      <c r="F1325" s="566">
        <v>1</v>
      </c>
      <c r="G1325" s="662">
        <v>0</v>
      </c>
      <c r="H1325" s="662">
        <v>0</v>
      </c>
      <c r="I1325" s="662">
        <v>36771.357926764664</v>
      </c>
      <c r="J1325" s="662">
        <v>38024.104384254912</v>
      </c>
      <c r="K1325" s="566" t="s">
        <v>4069</v>
      </c>
      <c r="L1325" s="549"/>
      <c r="M1325" s="540"/>
      <c r="O1325" s="540"/>
      <c r="S1325" s="550"/>
      <c r="T1325" s="547"/>
      <c r="U1325" s="547"/>
      <c r="V1325" s="547"/>
      <c r="W1325" s="549"/>
    </row>
    <row r="1326" spans="1:23">
      <c r="A1326" s="565">
        <v>2020</v>
      </c>
      <c r="B1326" s="696" t="s">
        <v>6733</v>
      </c>
      <c r="C1326" s="566">
        <f t="shared" si="20"/>
        <v>2020</v>
      </c>
      <c r="D1326" s="700" t="s">
        <v>3137</v>
      </c>
      <c r="E1326" s="701" t="s">
        <v>9202</v>
      </c>
      <c r="F1326" s="566">
        <v>1</v>
      </c>
      <c r="G1326" s="662">
        <v>0</v>
      </c>
      <c r="H1326" s="662">
        <v>27248.522721355981</v>
      </c>
      <c r="I1326" s="662">
        <v>0</v>
      </c>
      <c r="J1326" s="662">
        <v>0</v>
      </c>
      <c r="K1326" s="566" t="s">
        <v>3141</v>
      </c>
      <c r="L1326" s="549"/>
      <c r="M1326" s="540"/>
      <c r="O1326" s="540"/>
      <c r="S1326" s="550"/>
      <c r="T1326" s="547"/>
      <c r="U1326" s="547"/>
      <c r="V1326" s="547"/>
      <c r="W1326" s="549"/>
    </row>
    <row r="1327" spans="1:23">
      <c r="A1327" s="565">
        <v>2021</v>
      </c>
      <c r="B1327" s="696" t="s">
        <v>6734</v>
      </c>
      <c r="C1327" s="566">
        <f t="shared" si="20"/>
        <v>2021</v>
      </c>
      <c r="D1327" s="700" t="s">
        <v>3137</v>
      </c>
      <c r="E1327" s="701" t="s">
        <v>9203</v>
      </c>
      <c r="F1327" s="566">
        <v>1</v>
      </c>
      <c r="G1327" s="662">
        <v>0</v>
      </c>
      <c r="H1327" s="662">
        <v>28424.892660677171</v>
      </c>
      <c r="I1327" s="662">
        <v>29085.81485102158</v>
      </c>
      <c r="J1327" s="662">
        <v>29781.530360086159</v>
      </c>
      <c r="K1327" s="566" t="s">
        <v>3142</v>
      </c>
      <c r="L1327" s="549"/>
      <c r="M1327" s="540"/>
      <c r="O1327" s="540"/>
      <c r="S1327" s="550"/>
      <c r="T1327" s="547"/>
      <c r="U1327" s="547"/>
      <c r="V1327" s="547"/>
      <c r="W1327" s="549"/>
    </row>
    <row r="1328" spans="1:23">
      <c r="A1328" s="565">
        <v>2022</v>
      </c>
      <c r="B1328" s="696" t="s">
        <v>6735</v>
      </c>
      <c r="C1328" s="566">
        <f t="shared" si="20"/>
        <v>2022</v>
      </c>
      <c r="D1328" s="700" t="s">
        <v>3137</v>
      </c>
      <c r="E1328" s="701" t="s">
        <v>9204</v>
      </c>
      <c r="F1328" s="566">
        <v>1</v>
      </c>
      <c r="G1328" s="662">
        <v>0</v>
      </c>
      <c r="H1328" s="662">
        <v>35649.146492244246</v>
      </c>
      <c r="I1328" s="662">
        <v>36492.747749494993</v>
      </c>
      <c r="J1328" s="662">
        <v>37380.759990803184</v>
      </c>
      <c r="K1328" s="566" t="s">
        <v>3143</v>
      </c>
      <c r="L1328" s="549"/>
      <c r="M1328" s="540"/>
      <c r="O1328" s="540"/>
      <c r="S1328" s="550"/>
      <c r="T1328" s="547"/>
      <c r="U1328" s="547"/>
      <c r="V1328" s="547"/>
      <c r="W1328" s="549"/>
    </row>
    <row r="1329" spans="1:23">
      <c r="A1329" s="565">
        <v>2023</v>
      </c>
      <c r="B1329" s="696" t="s">
        <v>6736</v>
      </c>
      <c r="C1329" s="566">
        <f t="shared" si="20"/>
        <v>2023</v>
      </c>
      <c r="D1329" s="700" t="s">
        <v>3137</v>
      </c>
      <c r="E1329" s="701" t="s">
        <v>9205</v>
      </c>
      <c r="F1329" s="566">
        <v>1</v>
      </c>
      <c r="G1329" s="662">
        <v>0</v>
      </c>
      <c r="H1329" s="662">
        <v>0</v>
      </c>
      <c r="I1329" s="662">
        <v>0</v>
      </c>
      <c r="J1329" s="662">
        <v>27086.02116817647</v>
      </c>
      <c r="K1329" s="566" t="s">
        <v>4797</v>
      </c>
      <c r="L1329" s="549"/>
      <c r="M1329" s="540"/>
      <c r="O1329" s="540"/>
      <c r="S1329" s="550"/>
      <c r="T1329" s="547"/>
      <c r="U1329" s="547"/>
      <c r="V1329" s="547"/>
      <c r="W1329" s="549"/>
    </row>
    <row r="1330" spans="1:23">
      <c r="A1330" s="565">
        <v>2024</v>
      </c>
      <c r="B1330" s="696" t="s">
        <v>6737</v>
      </c>
      <c r="C1330" s="566">
        <f t="shared" si="20"/>
        <v>2024</v>
      </c>
      <c r="D1330" s="700" t="s">
        <v>3137</v>
      </c>
      <c r="E1330" s="701" t="s">
        <v>9206</v>
      </c>
      <c r="F1330" s="566">
        <v>1</v>
      </c>
      <c r="G1330" s="662">
        <v>0</v>
      </c>
      <c r="H1330" s="662">
        <v>43520.063215939583</v>
      </c>
      <c r="I1330" s="662">
        <v>43520.063215939583</v>
      </c>
      <c r="J1330" s="662">
        <v>44560.732321767937</v>
      </c>
      <c r="K1330" s="566" t="s">
        <v>3144</v>
      </c>
      <c r="L1330" s="549"/>
      <c r="M1330" s="540"/>
      <c r="O1330" s="540"/>
      <c r="S1330" s="550"/>
      <c r="T1330" s="547"/>
      <c r="U1330" s="547"/>
      <c r="V1330" s="547"/>
      <c r="W1330" s="549"/>
    </row>
    <row r="1331" spans="1:23">
      <c r="A1331" s="565">
        <v>2025</v>
      </c>
      <c r="B1331" s="696" t="s">
        <v>6738</v>
      </c>
      <c r="C1331" s="566">
        <f t="shared" si="20"/>
        <v>2025</v>
      </c>
      <c r="D1331" s="700" t="s">
        <v>3137</v>
      </c>
      <c r="E1331" s="701" t="s">
        <v>9207</v>
      </c>
      <c r="F1331" s="566">
        <v>1</v>
      </c>
      <c r="G1331" s="662">
        <v>0</v>
      </c>
      <c r="H1331" s="662">
        <v>0</v>
      </c>
      <c r="I1331" s="662">
        <v>0</v>
      </c>
      <c r="J1331" s="662">
        <v>27397.083026564462</v>
      </c>
      <c r="K1331" s="566" t="s">
        <v>4798</v>
      </c>
      <c r="L1331" s="549"/>
      <c r="M1331" s="540"/>
      <c r="O1331" s="540"/>
      <c r="S1331" s="550"/>
      <c r="T1331" s="547"/>
      <c r="U1331" s="547"/>
      <c r="V1331" s="547"/>
      <c r="W1331" s="549"/>
    </row>
    <row r="1332" spans="1:23">
      <c r="A1332" s="565">
        <v>2026</v>
      </c>
      <c r="B1332" s="696" t="s">
        <v>6739</v>
      </c>
      <c r="C1332" s="566">
        <f t="shared" si="20"/>
        <v>2026</v>
      </c>
      <c r="D1332" s="700" t="s">
        <v>3137</v>
      </c>
      <c r="E1332" s="701" t="s">
        <v>9208</v>
      </c>
      <c r="F1332" s="566">
        <v>1</v>
      </c>
      <c r="G1332" s="662">
        <v>0</v>
      </c>
      <c r="H1332" s="662">
        <v>0</v>
      </c>
      <c r="I1332" s="662">
        <v>0</v>
      </c>
      <c r="J1332" s="662">
        <v>29831.073681796584</v>
      </c>
      <c r="K1332" s="566" t="s">
        <v>4799</v>
      </c>
      <c r="L1332" s="549"/>
      <c r="M1332" s="540"/>
      <c r="O1332" s="540"/>
      <c r="S1332" s="550"/>
      <c r="T1332" s="547"/>
      <c r="U1332" s="547"/>
      <c r="V1332" s="547"/>
      <c r="W1332" s="549"/>
    </row>
    <row r="1333" spans="1:23">
      <c r="A1333" s="565">
        <v>2027</v>
      </c>
      <c r="B1333" s="696" t="s">
        <v>6740</v>
      </c>
      <c r="C1333" s="566">
        <f t="shared" si="20"/>
        <v>2027</v>
      </c>
      <c r="D1333" s="700" t="s">
        <v>3137</v>
      </c>
      <c r="E1333" s="701" t="s">
        <v>9209</v>
      </c>
      <c r="F1333" s="566">
        <v>1</v>
      </c>
      <c r="G1333" s="662">
        <v>0</v>
      </c>
      <c r="H1333" s="662">
        <v>0</v>
      </c>
      <c r="I1333" s="662">
        <v>0</v>
      </c>
      <c r="J1333" s="662">
        <v>21912.732308725244</v>
      </c>
      <c r="K1333" s="566" t="s">
        <v>4800</v>
      </c>
      <c r="L1333" s="549"/>
      <c r="M1333" s="540"/>
      <c r="O1333" s="540"/>
      <c r="S1333" s="550"/>
      <c r="T1333" s="547"/>
      <c r="U1333" s="547"/>
      <c r="V1333" s="547"/>
      <c r="W1333" s="549"/>
    </row>
    <row r="1334" spans="1:23">
      <c r="A1334" s="565">
        <v>2028</v>
      </c>
      <c r="B1334" s="696" t="s">
        <v>6741</v>
      </c>
      <c r="C1334" s="566">
        <f t="shared" si="20"/>
        <v>2028</v>
      </c>
      <c r="D1334" s="700" t="s">
        <v>3137</v>
      </c>
      <c r="E1334" s="701" t="s">
        <v>9210</v>
      </c>
      <c r="F1334" s="566">
        <v>1</v>
      </c>
      <c r="G1334" s="662">
        <v>0</v>
      </c>
      <c r="H1334" s="662">
        <v>0</v>
      </c>
      <c r="I1334" s="662">
        <v>0</v>
      </c>
      <c r="J1334" s="662">
        <v>32052.91646753261</v>
      </c>
      <c r="K1334" s="566" t="s">
        <v>4801</v>
      </c>
      <c r="L1334" s="549"/>
      <c r="M1334" s="540"/>
      <c r="O1334" s="540"/>
      <c r="S1334" s="550"/>
      <c r="T1334" s="547"/>
      <c r="U1334" s="547"/>
      <c r="V1334" s="547"/>
      <c r="W1334" s="549"/>
    </row>
    <row r="1335" spans="1:23">
      <c r="A1335" s="565">
        <v>2029</v>
      </c>
      <c r="B1335" s="696" t="s">
        <v>6742</v>
      </c>
      <c r="C1335" s="566">
        <f t="shared" si="20"/>
        <v>2029</v>
      </c>
      <c r="D1335" s="700" t="s">
        <v>3137</v>
      </c>
      <c r="E1335" s="701" t="s">
        <v>9211</v>
      </c>
      <c r="F1335" s="566">
        <v>1</v>
      </c>
      <c r="G1335" s="662">
        <v>0</v>
      </c>
      <c r="H1335" s="662">
        <v>0</v>
      </c>
      <c r="I1335" s="662">
        <v>0</v>
      </c>
      <c r="J1335" s="662">
        <v>36345.077056947768</v>
      </c>
      <c r="K1335" s="566" t="s">
        <v>4802</v>
      </c>
      <c r="L1335" s="549"/>
      <c r="M1335" s="540"/>
      <c r="O1335" s="540"/>
      <c r="S1335" s="550"/>
      <c r="T1335" s="547"/>
      <c r="U1335" s="547"/>
      <c r="V1335" s="547"/>
      <c r="W1335" s="549"/>
    </row>
    <row r="1336" spans="1:23">
      <c r="A1336" s="565">
        <v>2030</v>
      </c>
      <c r="B1336" s="696" t="s">
        <v>6743</v>
      </c>
      <c r="C1336" s="566">
        <f t="shared" si="20"/>
        <v>2030</v>
      </c>
      <c r="D1336" s="700" t="s">
        <v>3137</v>
      </c>
      <c r="E1336" s="701" t="s">
        <v>9212</v>
      </c>
      <c r="F1336" s="566">
        <v>1</v>
      </c>
      <c r="G1336" s="662">
        <v>0</v>
      </c>
      <c r="H1336" s="662">
        <v>0</v>
      </c>
      <c r="I1336" s="662">
        <v>0</v>
      </c>
      <c r="J1336" s="662">
        <v>44163.004143736762</v>
      </c>
      <c r="K1336" s="566" t="s">
        <v>4803</v>
      </c>
      <c r="L1336" s="549"/>
      <c r="M1336" s="540"/>
      <c r="O1336" s="540"/>
      <c r="S1336" s="550"/>
      <c r="T1336" s="547"/>
      <c r="U1336" s="547"/>
      <c r="V1336" s="547"/>
      <c r="W1336" s="549"/>
    </row>
    <row r="1337" spans="1:23">
      <c r="A1337" s="565">
        <v>2031</v>
      </c>
      <c r="B1337" s="696" t="s">
        <v>6744</v>
      </c>
      <c r="C1337" s="566">
        <f t="shared" si="20"/>
        <v>2031</v>
      </c>
      <c r="D1337" s="700" t="s">
        <v>3137</v>
      </c>
      <c r="E1337" s="701" t="s">
        <v>9213</v>
      </c>
      <c r="F1337" s="566">
        <v>1</v>
      </c>
      <c r="G1337" s="662">
        <v>0</v>
      </c>
      <c r="H1337" s="662">
        <v>0</v>
      </c>
      <c r="I1337" s="662">
        <v>0</v>
      </c>
      <c r="J1337" s="662">
        <v>44201.957871736755</v>
      </c>
      <c r="K1337" s="566" t="s">
        <v>4804</v>
      </c>
      <c r="L1337" s="549"/>
      <c r="M1337" s="540"/>
      <c r="O1337" s="540"/>
      <c r="S1337" s="550"/>
      <c r="T1337" s="547"/>
      <c r="U1337" s="547"/>
      <c r="V1337" s="547"/>
      <c r="W1337" s="549"/>
    </row>
    <row r="1338" spans="1:23">
      <c r="A1338" s="565">
        <v>2032</v>
      </c>
      <c r="B1338" s="696" t="s">
        <v>6745</v>
      </c>
      <c r="C1338" s="566">
        <f t="shared" si="20"/>
        <v>2032</v>
      </c>
      <c r="D1338" s="700" t="s">
        <v>2231</v>
      </c>
      <c r="E1338" s="701" t="s">
        <v>9214</v>
      </c>
      <c r="F1338" s="566">
        <v>2</v>
      </c>
      <c r="G1338" s="662">
        <v>23157.698740432748</v>
      </c>
      <c r="H1338" s="662">
        <v>24039.655831448668</v>
      </c>
      <c r="I1338" s="662">
        <v>24967.98050164141</v>
      </c>
      <c r="J1338" s="662">
        <v>25945.202776317579</v>
      </c>
      <c r="K1338" s="566" t="s">
        <v>2036</v>
      </c>
      <c r="L1338" s="549"/>
      <c r="M1338" s="540"/>
      <c r="O1338" s="540"/>
      <c r="S1338" s="550"/>
      <c r="T1338" s="547"/>
      <c r="U1338" s="547"/>
      <c r="V1338" s="547"/>
      <c r="W1338" s="549"/>
    </row>
    <row r="1339" spans="1:23">
      <c r="A1339" s="565">
        <v>2033</v>
      </c>
      <c r="B1339" s="696" t="s">
        <v>6746</v>
      </c>
      <c r="C1339" s="566">
        <f t="shared" si="20"/>
        <v>2033</v>
      </c>
      <c r="D1339" s="700" t="s">
        <v>2231</v>
      </c>
      <c r="E1339" s="701" t="s">
        <v>9215</v>
      </c>
      <c r="F1339" s="566">
        <v>2</v>
      </c>
      <c r="G1339" s="662">
        <v>23440.284481034651</v>
      </c>
      <c r="H1339" s="662">
        <v>24347.590479449442</v>
      </c>
      <c r="I1339" s="662">
        <v>25302.62637835999</v>
      </c>
      <c r="J1339" s="662">
        <v>26307.970857405729</v>
      </c>
      <c r="K1339" s="566" t="s">
        <v>2037</v>
      </c>
      <c r="L1339" s="549"/>
      <c r="M1339" s="540"/>
      <c r="O1339" s="540"/>
      <c r="S1339" s="550"/>
      <c r="T1339" s="547"/>
      <c r="U1339" s="547"/>
      <c r="V1339" s="547"/>
      <c r="W1339" s="549"/>
    </row>
    <row r="1340" spans="1:23">
      <c r="A1340" s="565">
        <v>2034</v>
      </c>
      <c r="B1340" s="696" t="s">
        <v>6747</v>
      </c>
      <c r="C1340" s="566">
        <f t="shared" si="20"/>
        <v>2034</v>
      </c>
      <c r="D1340" s="700" t="s">
        <v>2231</v>
      </c>
      <c r="E1340" s="701" t="s">
        <v>9216</v>
      </c>
      <c r="F1340" s="566">
        <v>2</v>
      </c>
      <c r="G1340" s="662">
        <v>28422.338693814232</v>
      </c>
      <c r="H1340" s="662">
        <v>29541.874891986921</v>
      </c>
      <c r="I1340" s="662">
        <v>30720.331487203821</v>
      </c>
      <c r="J1340" s="662">
        <v>31960.822356765355</v>
      </c>
      <c r="K1340" s="566" t="s">
        <v>2038</v>
      </c>
      <c r="L1340" s="549"/>
      <c r="M1340" s="540"/>
      <c r="O1340" s="540"/>
      <c r="S1340" s="550"/>
      <c r="T1340" s="547"/>
      <c r="U1340" s="547"/>
      <c r="V1340" s="547"/>
      <c r="W1340" s="549"/>
    </row>
    <row r="1341" spans="1:23">
      <c r="A1341" s="565">
        <v>2035</v>
      </c>
      <c r="B1341" s="696" t="s">
        <v>6748</v>
      </c>
      <c r="C1341" s="566">
        <f t="shared" si="20"/>
        <v>2035</v>
      </c>
      <c r="D1341" s="700" t="s">
        <v>2231</v>
      </c>
      <c r="E1341" s="701" t="s">
        <v>9217</v>
      </c>
      <c r="F1341" s="566">
        <v>2</v>
      </c>
      <c r="G1341" s="662">
        <v>24023.393506998866</v>
      </c>
      <c r="H1341" s="662">
        <v>24957.410734131467</v>
      </c>
      <c r="I1341" s="662">
        <v>25940.568837411585</v>
      </c>
      <c r="J1341" s="662">
        <v>26975.495150811475</v>
      </c>
      <c r="K1341" s="566" t="s">
        <v>2039</v>
      </c>
      <c r="L1341" s="549"/>
      <c r="M1341" s="540"/>
      <c r="O1341" s="540"/>
      <c r="S1341" s="550"/>
      <c r="T1341" s="547"/>
      <c r="U1341" s="547"/>
      <c r="V1341" s="547"/>
      <c r="W1341" s="549"/>
    </row>
    <row r="1342" spans="1:23">
      <c r="A1342" s="565">
        <v>2036</v>
      </c>
      <c r="B1342" s="695" t="s">
        <v>6749</v>
      </c>
      <c r="C1342" s="566">
        <f t="shared" si="20"/>
        <v>2036</v>
      </c>
      <c r="D1342" s="699" t="s">
        <v>2231</v>
      </c>
      <c r="E1342" s="701" t="s">
        <v>9218</v>
      </c>
      <c r="F1342" s="567">
        <v>2</v>
      </c>
      <c r="G1342" s="662">
        <v>0</v>
      </c>
      <c r="H1342" s="662">
        <v>35097.073518696845</v>
      </c>
      <c r="I1342" s="662">
        <v>36479.051188096979</v>
      </c>
      <c r="J1342" s="662">
        <v>37933.767085062005</v>
      </c>
      <c r="K1342" s="568" t="s">
        <v>4070</v>
      </c>
      <c r="L1342" s="549"/>
      <c r="M1342" s="540"/>
      <c r="O1342" s="540"/>
      <c r="S1342" s="550"/>
      <c r="T1342" s="547"/>
      <c r="U1342" s="547"/>
      <c r="V1342" s="547"/>
      <c r="W1342" s="549"/>
    </row>
    <row r="1343" spans="1:23">
      <c r="A1343" s="565">
        <v>2037</v>
      </c>
      <c r="B1343" s="695" t="s">
        <v>6750</v>
      </c>
      <c r="C1343" s="566">
        <f t="shared" si="20"/>
        <v>2037</v>
      </c>
      <c r="D1343" s="699" t="s">
        <v>2231</v>
      </c>
      <c r="E1343" s="701" t="s">
        <v>9219</v>
      </c>
      <c r="F1343" s="567">
        <v>2</v>
      </c>
      <c r="G1343" s="662">
        <v>25944.3671077828</v>
      </c>
      <c r="H1343" s="662">
        <v>26962.118441697468</v>
      </c>
      <c r="I1343" s="662">
        <v>28033.438196046209</v>
      </c>
      <c r="J1343" s="662">
        <v>29161.148322132543</v>
      </c>
      <c r="K1343" s="568" t="s">
        <v>2040</v>
      </c>
      <c r="L1343" s="549"/>
      <c r="M1343" s="540"/>
      <c r="O1343" s="540"/>
      <c r="S1343" s="550"/>
      <c r="T1343" s="547"/>
      <c r="U1343" s="547"/>
      <c r="V1343" s="547"/>
      <c r="W1343" s="549"/>
    </row>
    <row r="1344" spans="1:23">
      <c r="A1344" s="565">
        <v>2038</v>
      </c>
      <c r="B1344" s="696" t="s">
        <v>6751</v>
      </c>
      <c r="C1344" s="566">
        <f t="shared" si="20"/>
        <v>2038</v>
      </c>
      <c r="D1344" s="700" t="s">
        <v>2231</v>
      </c>
      <c r="E1344" s="701" t="s">
        <v>9220</v>
      </c>
      <c r="F1344" s="566">
        <v>2</v>
      </c>
      <c r="G1344" s="662">
        <v>31018.057058074763</v>
      </c>
      <c r="H1344" s="662">
        <v>32237.82118185527</v>
      </c>
      <c r="I1344" s="662">
        <v>33521.809024957285</v>
      </c>
      <c r="J1344" s="662">
        <v>34873.377736345334</v>
      </c>
      <c r="K1344" s="566" t="s">
        <v>2041</v>
      </c>
      <c r="L1344" s="549"/>
      <c r="M1344" s="540"/>
      <c r="O1344" s="540"/>
      <c r="S1344" s="550"/>
      <c r="T1344" s="547"/>
      <c r="U1344" s="547"/>
      <c r="V1344" s="547"/>
      <c r="W1344" s="549"/>
    </row>
    <row r="1345" spans="1:23">
      <c r="A1345" s="565">
        <v>2039</v>
      </c>
      <c r="B1345" s="696" t="s">
        <v>6752</v>
      </c>
      <c r="C1345" s="566">
        <f t="shared" si="20"/>
        <v>2039</v>
      </c>
      <c r="D1345" s="700" t="s">
        <v>2231</v>
      </c>
      <c r="E1345" s="701" t="s">
        <v>9221</v>
      </c>
      <c r="F1345" s="566">
        <v>2</v>
      </c>
      <c r="G1345" s="662">
        <v>31818.032326911685</v>
      </c>
      <c r="H1345" s="662">
        <v>33073.897965644122</v>
      </c>
      <c r="I1345" s="662">
        <v>34395.884842678024</v>
      </c>
      <c r="J1345" s="662">
        <v>35787.447415643575</v>
      </c>
      <c r="K1345" s="566" t="s">
        <v>2042</v>
      </c>
      <c r="L1345" s="549"/>
      <c r="M1345" s="540"/>
      <c r="O1345" s="540"/>
      <c r="S1345" s="550"/>
      <c r="T1345" s="547"/>
      <c r="U1345" s="547"/>
      <c r="V1345" s="547"/>
      <c r="W1345" s="549"/>
    </row>
    <row r="1346" spans="1:23">
      <c r="A1346" s="565">
        <v>2040</v>
      </c>
      <c r="B1346" s="696" t="s">
        <v>6753</v>
      </c>
      <c r="C1346" s="566">
        <f t="shared" si="20"/>
        <v>2040</v>
      </c>
      <c r="D1346" s="700" t="s">
        <v>2231</v>
      </c>
      <c r="E1346" s="701" t="s">
        <v>9222</v>
      </c>
      <c r="F1346" s="566">
        <v>2</v>
      </c>
      <c r="G1346" s="662">
        <v>26415.758524503119</v>
      </c>
      <c r="H1346" s="662">
        <v>27455.355653853661</v>
      </c>
      <c r="I1346" s="662">
        <v>28549.640253293128</v>
      </c>
      <c r="J1346" s="662">
        <v>29701.531582790667</v>
      </c>
      <c r="K1346" s="566" t="s">
        <v>2043</v>
      </c>
      <c r="L1346" s="549"/>
      <c r="M1346" s="540"/>
      <c r="O1346" s="540"/>
      <c r="S1346" s="550"/>
      <c r="T1346" s="547"/>
      <c r="U1346" s="547"/>
      <c r="V1346" s="547"/>
      <c r="W1346" s="549"/>
    </row>
    <row r="1347" spans="1:23">
      <c r="A1347" s="565">
        <v>2041</v>
      </c>
      <c r="B1347" s="696" t="s">
        <v>6754</v>
      </c>
      <c r="C1347" s="566">
        <f t="shared" si="20"/>
        <v>2041</v>
      </c>
      <c r="D1347" s="700" t="s">
        <v>2231</v>
      </c>
      <c r="E1347" s="701" t="s">
        <v>9223</v>
      </c>
      <c r="F1347" s="566">
        <v>2</v>
      </c>
      <c r="G1347" s="662">
        <v>26887.206280629354</v>
      </c>
      <c r="H1347" s="662">
        <v>27948.649205415772</v>
      </c>
      <c r="I1347" s="662">
        <v>29065.947304278779</v>
      </c>
      <c r="J1347" s="662">
        <v>30242.068491520346</v>
      </c>
      <c r="K1347" s="566" t="s">
        <v>2044</v>
      </c>
      <c r="L1347" s="549"/>
      <c r="M1347" s="540"/>
      <c r="O1347" s="540"/>
      <c r="S1347" s="550"/>
      <c r="T1347" s="547"/>
      <c r="U1347" s="547"/>
      <c r="V1347" s="547"/>
      <c r="W1347" s="549"/>
    </row>
    <row r="1348" spans="1:23">
      <c r="A1348" s="565">
        <v>2042</v>
      </c>
      <c r="B1348" s="696" t="s">
        <v>6755</v>
      </c>
      <c r="C1348" s="566">
        <f t="shared" si="20"/>
        <v>2042</v>
      </c>
      <c r="D1348" s="700" t="s">
        <v>2231</v>
      </c>
      <c r="E1348" s="701" t="s">
        <v>9224</v>
      </c>
      <c r="F1348" s="566">
        <v>2</v>
      </c>
      <c r="G1348" s="662">
        <v>28368.938736433338</v>
      </c>
      <c r="H1348" s="662">
        <v>29499.081579160644</v>
      </c>
      <c r="I1348" s="662">
        <v>30688.680016593164</v>
      </c>
      <c r="J1348" s="662">
        <v>31940.896580364166</v>
      </c>
      <c r="K1348" s="566" t="s">
        <v>2045</v>
      </c>
      <c r="L1348" s="549"/>
      <c r="M1348" s="540"/>
      <c r="O1348" s="540"/>
      <c r="S1348" s="550"/>
      <c r="T1348" s="547"/>
      <c r="U1348" s="547"/>
      <c r="V1348" s="547"/>
      <c r="W1348" s="549"/>
    </row>
    <row r="1349" spans="1:23">
      <c r="A1349" s="565">
        <v>2043</v>
      </c>
      <c r="B1349" s="696" t="s">
        <v>6756</v>
      </c>
      <c r="C1349" s="566">
        <f t="shared" si="20"/>
        <v>2043</v>
      </c>
      <c r="D1349" s="700" t="s">
        <v>2231</v>
      </c>
      <c r="E1349" s="701" t="s">
        <v>9225</v>
      </c>
      <c r="F1349" s="566">
        <v>2</v>
      </c>
      <c r="G1349" s="662">
        <v>28840.330153153653</v>
      </c>
      <c r="H1349" s="662">
        <v>29992.318791316833</v>
      </c>
      <c r="I1349" s="662">
        <v>31204.882073840083</v>
      </c>
      <c r="J1349" s="662">
        <v>32481.328495355101</v>
      </c>
      <c r="K1349" s="566" t="s">
        <v>2046</v>
      </c>
      <c r="L1349" s="549"/>
      <c r="M1349" s="540"/>
      <c r="O1349" s="540"/>
      <c r="S1349" s="550"/>
      <c r="T1349" s="547"/>
      <c r="U1349" s="547"/>
      <c r="V1349" s="547"/>
      <c r="W1349" s="549"/>
    </row>
    <row r="1350" spans="1:23">
      <c r="A1350" s="565">
        <v>2044</v>
      </c>
      <c r="B1350" s="696" t="s">
        <v>6757</v>
      </c>
      <c r="C1350" s="566">
        <f t="shared" si="20"/>
        <v>2044</v>
      </c>
      <c r="D1350" s="700" t="s">
        <v>2231</v>
      </c>
      <c r="E1350" s="701" t="s">
        <v>9226</v>
      </c>
      <c r="F1350" s="566">
        <v>2</v>
      </c>
      <c r="G1350" s="662">
        <v>34018.152956413498</v>
      </c>
      <c r="H1350" s="662">
        <v>35381.155436014102</v>
      </c>
      <c r="I1350" s="662">
        <v>36815.874402190391</v>
      </c>
      <c r="J1350" s="662">
        <v>38326.153547235095</v>
      </c>
      <c r="K1350" s="566" t="s">
        <v>2047</v>
      </c>
      <c r="L1350" s="549"/>
      <c r="M1350" s="540"/>
      <c r="O1350" s="540"/>
      <c r="S1350" s="550"/>
      <c r="T1350" s="547"/>
      <c r="U1350" s="547"/>
      <c r="V1350" s="547"/>
      <c r="W1350" s="549"/>
    </row>
    <row r="1351" spans="1:23">
      <c r="A1351" s="565">
        <v>2045</v>
      </c>
      <c r="B1351" s="696" t="s">
        <v>6758</v>
      </c>
      <c r="C1351" s="566">
        <f t="shared" si="20"/>
        <v>2045</v>
      </c>
      <c r="D1351" s="700" t="s">
        <v>2231</v>
      </c>
      <c r="E1351" s="701" t="s">
        <v>9227</v>
      </c>
      <c r="F1351" s="566">
        <v>2</v>
      </c>
      <c r="G1351" s="662">
        <v>34537.771297173917</v>
      </c>
      <c r="H1351" s="662">
        <v>35924.419782524717</v>
      </c>
      <c r="I1351" s="662">
        <v>37384.049767104494</v>
      </c>
      <c r="J1351" s="662">
        <v>38920.504943205997</v>
      </c>
      <c r="K1351" s="566" t="s">
        <v>2048</v>
      </c>
      <c r="L1351" s="549"/>
      <c r="M1351" s="540"/>
      <c r="O1351" s="540"/>
      <c r="S1351" s="550"/>
      <c r="T1351" s="547"/>
      <c r="U1351" s="547"/>
      <c r="V1351" s="547"/>
      <c r="W1351" s="549"/>
    </row>
    <row r="1352" spans="1:23">
      <c r="A1352" s="565">
        <v>2046</v>
      </c>
      <c r="B1352" s="696" t="s">
        <v>6759</v>
      </c>
      <c r="C1352" s="566">
        <f t="shared" si="20"/>
        <v>2046</v>
      </c>
      <c r="D1352" s="700" t="s">
        <v>2231</v>
      </c>
      <c r="E1352" s="701" t="s">
        <v>9228</v>
      </c>
      <c r="F1352" s="566">
        <v>2</v>
      </c>
      <c r="G1352" s="662">
        <v>35057.333298528421</v>
      </c>
      <c r="H1352" s="662">
        <v>36467.57913529659</v>
      </c>
      <c r="I1352" s="662">
        <v>37952.02282961423</v>
      </c>
      <c r="J1352" s="662">
        <v>39514.605382439717</v>
      </c>
      <c r="K1352" s="566" t="s">
        <v>2049</v>
      </c>
      <c r="L1352" s="549"/>
      <c r="M1352" s="540"/>
      <c r="O1352" s="540"/>
      <c r="S1352" s="550"/>
      <c r="T1352" s="547"/>
      <c r="U1352" s="547"/>
      <c r="V1352" s="547"/>
      <c r="W1352" s="549"/>
    </row>
    <row r="1353" spans="1:23">
      <c r="A1353" s="565">
        <v>2047</v>
      </c>
      <c r="B1353" s="696" t="s">
        <v>6760</v>
      </c>
      <c r="C1353" s="566">
        <f t="shared" ref="C1353:C1416" si="21">A1353</f>
        <v>2047</v>
      </c>
      <c r="D1353" s="700" t="s">
        <v>2231</v>
      </c>
      <c r="E1353" s="701" t="s">
        <v>9229</v>
      </c>
      <c r="F1353" s="566">
        <v>2</v>
      </c>
      <c r="G1353" s="662">
        <v>35576.951639288847</v>
      </c>
      <c r="H1353" s="662">
        <v>37010.794827474383</v>
      </c>
      <c r="I1353" s="662">
        <v>38520.100885862703</v>
      </c>
      <c r="J1353" s="662">
        <v>40108.859469744981</v>
      </c>
      <c r="K1353" s="566" t="s">
        <v>2050</v>
      </c>
      <c r="L1353" s="549"/>
      <c r="M1353" s="540"/>
      <c r="O1353" s="540"/>
      <c r="S1353" s="550"/>
      <c r="T1353" s="547"/>
      <c r="U1353" s="547"/>
      <c r="V1353" s="547"/>
      <c r="W1353" s="549"/>
    </row>
    <row r="1354" spans="1:23">
      <c r="A1354" s="565">
        <v>2048</v>
      </c>
      <c r="B1354" s="696" t="s">
        <v>6761</v>
      </c>
      <c r="C1354" s="566">
        <f t="shared" si="21"/>
        <v>2048</v>
      </c>
      <c r="D1354" s="700" t="s">
        <v>2231</v>
      </c>
      <c r="E1354" s="701" t="s">
        <v>9230</v>
      </c>
      <c r="F1354" s="566">
        <v>2</v>
      </c>
      <c r="G1354" s="662">
        <v>37876.275473520043</v>
      </c>
      <c r="H1354" s="662">
        <v>39414.628168601499</v>
      </c>
      <c r="I1354" s="662">
        <v>41033.941673494308</v>
      </c>
      <c r="J1354" s="662">
        <v>42738.497569486579</v>
      </c>
      <c r="K1354" s="566" t="s">
        <v>2051</v>
      </c>
      <c r="L1354" s="549"/>
      <c r="M1354" s="540"/>
      <c r="O1354" s="540"/>
      <c r="S1354" s="550"/>
      <c r="T1354" s="547"/>
      <c r="U1354" s="547"/>
      <c r="V1354" s="547"/>
      <c r="W1354" s="549"/>
    </row>
    <row r="1355" spans="1:23">
      <c r="A1355" s="565">
        <v>2049</v>
      </c>
      <c r="B1355" s="696" t="s">
        <v>6762</v>
      </c>
      <c r="C1355" s="566">
        <f t="shared" si="21"/>
        <v>2049</v>
      </c>
      <c r="D1355" s="700" t="s">
        <v>2231</v>
      </c>
      <c r="E1355" s="701" t="s">
        <v>9231</v>
      </c>
      <c r="F1355" s="566">
        <v>2</v>
      </c>
      <c r="G1355" s="662">
        <v>38408.682859423323</v>
      </c>
      <c r="H1355" s="662">
        <v>39971.265412248809</v>
      </c>
      <c r="I1355" s="662">
        <v>41616.073787538946</v>
      </c>
      <c r="J1355" s="662">
        <v>43347.438220914664</v>
      </c>
      <c r="K1355" s="566" t="s">
        <v>2052</v>
      </c>
      <c r="L1355" s="549"/>
      <c r="M1355" s="540"/>
      <c r="O1355" s="540"/>
      <c r="S1355" s="550"/>
      <c r="T1355" s="547"/>
      <c r="U1355" s="547"/>
      <c r="V1355" s="547"/>
      <c r="W1355" s="549"/>
    </row>
    <row r="1356" spans="1:23">
      <c r="A1356" s="565">
        <v>2050</v>
      </c>
      <c r="B1356" s="695" t="s">
        <v>6763</v>
      </c>
      <c r="C1356" s="566">
        <f t="shared" si="21"/>
        <v>2050</v>
      </c>
      <c r="D1356" s="699" t="s">
        <v>2231</v>
      </c>
      <c r="E1356" s="701" t="s">
        <v>9232</v>
      </c>
      <c r="F1356" s="567">
        <v>2</v>
      </c>
      <c r="G1356" s="662">
        <v>38941.09024532661</v>
      </c>
      <c r="H1356" s="662">
        <v>40527.854001563297</v>
      </c>
      <c r="I1356" s="662">
        <v>42198.157247250761</v>
      </c>
      <c r="J1356" s="662">
        <v>43956.330218009927</v>
      </c>
      <c r="K1356" s="568" t="s">
        <v>2053</v>
      </c>
      <c r="L1356" s="549"/>
      <c r="M1356" s="540"/>
      <c r="O1356" s="540"/>
      <c r="S1356" s="550"/>
      <c r="T1356" s="547"/>
      <c r="U1356" s="547"/>
      <c r="V1356" s="547"/>
      <c r="W1356" s="549"/>
    </row>
    <row r="1357" spans="1:23">
      <c r="A1357" s="565">
        <v>2051</v>
      </c>
      <c r="B1357" s="695" t="s">
        <v>6764</v>
      </c>
      <c r="C1357" s="566">
        <f t="shared" si="21"/>
        <v>2051</v>
      </c>
      <c r="D1357" s="699" t="s">
        <v>2231</v>
      </c>
      <c r="E1357" s="701" t="s">
        <v>9233</v>
      </c>
      <c r="F1357" s="567">
        <v>2</v>
      </c>
      <c r="G1357" s="662">
        <v>0</v>
      </c>
      <c r="H1357" s="662">
        <v>42099.281335479296</v>
      </c>
      <c r="I1357" s="662">
        <v>43817.265827329698</v>
      </c>
      <c r="J1357" s="662">
        <v>45625.650069558411</v>
      </c>
      <c r="K1357" s="568" t="s">
        <v>3145</v>
      </c>
      <c r="L1357" s="549"/>
      <c r="M1357" s="540"/>
      <c r="O1357" s="540"/>
      <c r="S1357" s="550"/>
      <c r="T1357" s="547"/>
      <c r="U1357" s="547"/>
      <c r="V1357" s="547"/>
      <c r="W1357" s="549"/>
    </row>
    <row r="1358" spans="1:23">
      <c r="A1358" s="565">
        <v>2052</v>
      </c>
      <c r="B1358" s="696" t="s">
        <v>6765</v>
      </c>
      <c r="C1358" s="566">
        <f t="shared" si="21"/>
        <v>2052</v>
      </c>
      <c r="D1358" s="700" t="s">
        <v>2231</v>
      </c>
      <c r="E1358" s="701" t="s">
        <v>9234</v>
      </c>
      <c r="F1358" s="566">
        <v>2</v>
      </c>
      <c r="G1358" s="662">
        <v>0</v>
      </c>
      <c r="H1358" s="662">
        <v>45010.23852377099</v>
      </c>
      <c r="I1358" s="662">
        <v>46947.021550309903</v>
      </c>
      <c r="J1358" s="662">
        <v>48883.755922515993</v>
      </c>
      <c r="K1358" s="566" t="s">
        <v>3146</v>
      </c>
      <c r="L1358" s="549"/>
      <c r="M1358" s="540"/>
      <c r="O1358" s="540"/>
      <c r="S1358" s="550"/>
      <c r="T1358" s="547"/>
      <c r="U1358" s="547"/>
      <c r="V1358" s="547"/>
      <c r="W1358" s="549"/>
    </row>
    <row r="1359" spans="1:23">
      <c r="A1359" s="565">
        <v>2053</v>
      </c>
      <c r="B1359" s="695" t="s">
        <v>6766</v>
      </c>
      <c r="C1359" s="566">
        <f t="shared" si="21"/>
        <v>2053</v>
      </c>
      <c r="D1359" s="699" t="s">
        <v>2231</v>
      </c>
      <c r="E1359" s="701" t="s">
        <v>9235</v>
      </c>
      <c r="F1359" s="567">
        <v>2</v>
      </c>
      <c r="G1359" s="662">
        <v>0</v>
      </c>
      <c r="H1359" s="662">
        <v>0</v>
      </c>
      <c r="I1359" s="662">
        <v>45029.396572457314</v>
      </c>
      <c r="J1359" s="662">
        <v>0</v>
      </c>
      <c r="K1359" s="568" t="s">
        <v>4805</v>
      </c>
      <c r="L1359" s="549"/>
      <c r="M1359" s="540"/>
      <c r="O1359" s="540"/>
      <c r="S1359" s="550"/>
      <c r="T1359" s="547"/>
      <c r="U1359" s="547"/>
      <c r="V1359" s="547"/>
      <c r="W1359" s="549"/>
    </row>
    <row r="1360" spans="1:23">
      <c r="A1360" s="565">
        <v>2054</v>
      </c>
      <c r="B1360" s="696" t="s">
        <v>6767</v>
      </c>
      <c r="C1360" s="566">
        <f t="shared" si="21"/>
        <v>2054</v>
      </c>
      <c r="D1360" s="700" t="s">
        <v>2231</v>
      </c>
      <c r="E1360" s="701" t="s">
        <v>9236</v>
      </c>
      <c r="F1360" s="566">
        <v>2</v>
      </c>
      <c r="G1360" s="662">
        <v>0</v>
      </c>
      <c r="H1360" s="662">
        <v>0</v>
      </c>
      <c r="I1360" s="662">
        <v>45724.295203013047</v>
      </c>
      <c r="J1360" s="662">
        <v>0</v>
      </c>
      <c r="K1360" s="566" t="s">
        <v>4806</v>
      </c>
      <c r="L1360" s="549"/>
      <c r="M1360" s="540"/>
      <c r="O1360" s="540"/>
      <c r="S1360" s="550"/>
      <c r="T1360" s="547"/>
      <c r="U1360" s="547"/>
      <c r="V1360" s="547"/>
      <c r="W1360" s="549"/>
    </row>
    <row r="1361" spans="1:23">
      <c r="A1361" s="565">
        <v>2055</v>
      </c>
      <c r="B1361" s="696" t="s">
        <v>6768</v>
      </c>
      <c r="C1361" s="566">
        <f t="shared" si="21"/>
        <v>2055</v>
      </c>
      <c r="D1361" s="700" t="s">
        <v>2232</v>
      </c>
      <c r="E1361" s="701" t="s">
        <v>9237</v>
      </c>
      <c r="F1361" s="566">
        <v>2</v>
      </c>
      <c r="G1361" s="662">
        <v>19243.841658825575</v>
      </c>
      <c r="H1361" s="662">
        <v>19941.982680450084</v>
      </c>
      <c r="I1361" s="662">
        <v>20676.857723353187</v>
      </c>
      <c r="J1361" s="662">
        <v>21450.412960847651</v>
      </c>
      <c r="K1361" s="566" t="s">
        <v>2054</v>
      </c>
      <c r="L1361" s="549"/>
      <c r="M1361" s="540"/>
      <c r="O1361" s="540"/>
      <c r="S1361" s="550"/>
      <c r="T1361" s="547"/>
      <c r="U1361" s="547"/>
      <c r="V1361" s="547"/>
      <c r="W1361" s="549"/>
    </row>
    <row r="1362" spans="1:23">
      <c r="A1362" s="565">
        <v>2056</v>
      </c>
      <c r="B1362" s="696" t="s">
        <v>6769</v>
      </c>
      <c r="C1362" s="566">
        <f t="shared" si="21"/>
        <v>2056</v>
      </c>
      <c r="D1362" s="700" t="s">
        <v>2232</v>
      </c>
      <c r="E1362" s="701" t="s">
        <v>9238</v>
      </c>
      <c r="F1362" s="566">
        <v>2</v>
      </c>
      <c r="G1362" s="662">
        <v>23337.359265086401</v>
      </c>
      <c r="H1362" s="662">
        <v>24222.819468065321</v>
      </c>
      <c r="I1362" s="662">
        <v>25154.890521885151</v>
      </c>
      <c r="J1362" s="662">
        <v>26136.053797519678</v>
      </c>
      <c r="K1362" s="566" t="s">
        <v>2055</v>
      </c>
      <c r="L1362" s="549"/>
      <c r="M1362" s="540"/>
      <c r="O1362" s="540"/>
      <c r="S1362" s="550"/>
      <c r="T1362" s="547"/>
      <c r="U1362" s="547"/>
      <c r="V1362" s="547"/>
      <c r="W1362" s="549"/>
    </row>
    <row r="1363" spans="1:23">
      <c r="A1363" s="565">
        <v>2057</v>
      </c>
      <c r="B1363" s="696" t="s">
        <v>6770</v>
      </c>
      <c r="C1363" s="566">
        <f t="shared" si="21"/>
        <v>2057</v>
      </c>
      <c r="D1363" s="700" t="s">
        <v>2233</v>
      </c>
      <c r="E1363" s="701" t="s">
        <v>9239</v>
      </c>
      <c r="F1363" s="566">
        <v>1</v>
      </c>
      <c r="G1363" s="662">
        <v>0</v>
      </c>
      <c r="H1363" s="662">
        <v>0</v>
      </c>
      <c r="I1363" s="662">
        <v>36412.177921985749</v>
      </c>
      <c r="J1363" s="662">
        <v>37256.674216870451</v>
      </c>
      <c r="K1363" s="566" t="s">
        <v>4071</v>
      </c>
      <c r="L1363" s="549"/>
      <c r="M1363" s="540"/>
      <c r="O1363" s="540"/>
      <c r="S1363" s="550"/>
      <c r="T1363" s="547"/>
      <c r="U1363" s="547"/>
      <c r="V1363" s="547"/>
      <c r="W1363" s="549"/>
    </row>
    <row r="1364" spans="1:23">
      <c r="A1364" s="565">
        <v>2058</v>
      </c>
      <c r="B1364" s="696" t="s">
        <v>6771</v>
      </c>
      <c r="C1364" s="566">
        <f t="shared" si="21"/>
        <v>2058</v>
      </c>
      <c r="D1364" s="700" t="s">
        <v>2233</v>
      </c>
      <c r="E1364" s="701" t="s">
        <v>9240</v>
      </c>
      <c r="F1364" s="566">
        <v>1</v>
      </c>
      <c r="G1364" s="662">
        <v>0</v>
      </c>
      <c r="H1364" s="662">
        <v>40415.166216112899</v>
      </c>
      <c r="I1364" s="662">
        <v>41358.703159803234</v>
      </c>
      <c r="J1364" s="662">
        <v>42351.924635509306</v>
      </c>
      <c r="K1364" s="566" t="s">
        <v>3147</v>
      </c>
      <c r="L1364" s="549"/>
      <c r="M1364" s="540"/>
      <c r="O1364" s="540"/>
      <c r="S1364" s="550"/>
      <c r="T1364" s="547"/>
      <c r="U1364" s="547"/>
      <c r="V1364" s="547"/>
      <c r="W1364" s="549"/>
    </row>
    <row r="1365" spans="1:23">
      <c r="A1365" s="565">
        <v>2059</v>
      </c>
      <c r="B1365" s="696" t="s">
        <v>6772</v>
      </c>
      <c r="C1365" s="566">
        <f t="shared" si="21"/>
        <v>2059</v>
      </c>
      <c r="D1365" s="700" t="s">
        <v>2233</v>
      </c>
      <c r="E1365" s="701" t="s">
        <v>9241</v>
      </c>
      <c r="F1365" s="566">
        <v>1</v>
      </c>
      <c r="G1365" s="662">
        <v>37144.454324827049</v>
      </c>
      <c r="H1365" s="662">
        <v>38055.313953551449</v>
      </c>
      <c r="I1365" s="662">
        <v>0</v>
      </c>
      <c r="J1365" s="662">
        <v>0</v>
      </c>
      <c r="K1365" s="566" t="s">
        <v>2056</v>
      </c>
      <c r="L1365" s="549"/>
      <c r="M1365" s="540"/>
      <c r="O1365" s="540"/>
      <c r="S1365" s="550"/>
      <c r="T1365" s="547"/>
      <c r="U1365" s="547"/>
      <c r="V1365" s="547"/>
      <c r="W1365" s="549"/>
    </row>
    <row r="1366" spans="1:23">
      <c r="A1366" s="565">
        <v>2060</v>
      </c>
      <c r="B1366" s="696" t="s">
        <v>6773</v>
      </c>
      <c r="C1366" s="566">
        <f t="shared" si="21"/>
        <v>2060</v>
      </c>
      <c r="D1366" s="700" t="s">
        <v>2233</v>
      </c>
      <c r="E1366" s="701" t="s">
        <v>9242</v>
      </c>
      <c r="F1366" s="566">
        <v>1</v>
      </c>
      <c r="G1366" s="662">
        <v>41694.392672317161</v>
      </c>
      <c r="H1366" s="662">
        <v>42715.482525754436</v>
      </c>
      <c r="I1366" s="662">
        <v>43808.143440183165</v>
      </c>
      <c r="J1366" s="662">
        <v>0</v>
      </c>
      <c r="K1366" s="566" t="s">
        <v>2057</v>
      </c>
      <c r="L1366" s="549"/>
      <c r="M1366" s="540"/>
      <c r="O1366" s="540"/>
      <c r="S1366" s="550"/>
      <c r="T1366" s="547"/>
      <c r="U1366" s="547"/>
      <c r="V1366" s="547"/>
      <c r="W1366" s="549"/>
    </row>
    <row r="1367" spans="1:23">
      <c r="A1367" s="565">
        <v>2061</v>
      </c>
      <c r="B1367" s="696" t="s">
        <v>6774</v>
      </c>
      <c r="C1367" s="566">
        <f t="shared" si="21"/>
        <v>2061</v>
      </c>
      <c r="D1367" s="700" t="s">
        <v>2233</v>
      </c>
      <c r="E1367" s="701" t="s">
        <v>9243</v>
      </c>
      <c r="F1367" s="566">
        <v>1</v>
      </c>
      <c r="G1367" s="662">
        <v>46749.879725083971</v>
      </c>
      <c r="H1367" s="662">
        <v>0</v>
      </c>
      <c r="I1367" s="662">
        <v>0</v>
      </c>
      <c r="J1367" s="662">
        <v>0</v>
      </c>
      <c r="K1367" s="566" t="s">
        <v>5284</v>
      </c>
      <c r="L1367" s="549"/>
      <c r="M1367" s="540"/>
      <c r="O1367" s="540"/>
      <c r="S1367" s="550"/>
      <c r="T1367" s="547"/>
      <c r="U1367" s="547"/>
      <c r="V1367" s="547"/>
      <c r="W1367" s="549"/>
    </row>
    <row r="1368" spans="1:23">
      <c r="A1368" s="565">
        <v>2062</v>
      </c>
      <c r="B1368" s="695" t="s">
        <v>6775</v>
      </c>
      <c r="C1368" s="566">
        <f t="shared" si="21"/>
        <v>2062</v>
      </c>
      <c r="D1368" s="699" t="s">
        <v>2233</v>
      </c>
      <c r="E1368" s="701" t="s">
        <v>9244</v>
      </c>
      <c r="F1368" s="567">
        <v>1</v>
      </c>
      <c r="G1368" s="662">
        <v>0</v>
      </c>
      <c r="H1368" s="662">
        <v>0</v>
      </c>
      <c r="I1368" s="662">
        <v>67468.418303556944</v>
      </c>
      <c r="J1368" s="662">
        <v>69259.641861468204</v>
      </c>
      <c r="K1368" s="568" t="s">
        <v>3148</v>
      </c>
      <c r="L1368" s="549"/>
      <c r="M1368" s="540"/>
      <c r="O1368" s="540"/>
      <c r="S1368" s="550"/>
      <c r="T1368" s="547"/>
      <c r="U1368" s="547"/>
      <c r="V1368" s="547"/>
      <c r="W1368" s="549"/>
    </row>
    <row r="1369" spans="1:23">
      <c r="A1369" s="565">
        <v>2063</v>
      </c>
      <c r="B1369" s="696" t="s">
        <v>6776</v>
      </c>
      <c r="C1369" s="566">
        <f t="shared" si="21"/>
        <v>2063</v>
      </c>
      <c r="D1369" s="700" t="s">
        <v>2233</v>
      </c>
      <c r="E1369" s="701" t="s">
        <v>9245</v>
      </c>
      <c r="F1369" s="566">
        <v>1</v>
      </c>
      <c r="G1369" s="662">
        <v>86908.651680543102</v>
      </c>
      <c r="H1369" s="662">
        <v>0</v>
      </c>
      <c r="I1369" s="662">
        <v>0</v>
      </c>
      <c r="J1369" s="662">
        <v>0</v>
      </c>
      <c r="K1369" s="566" t="s">
        <v>5285</v>
      </c>
      <c r="L1369" s="549"/>
      <c r="M1369" s="540"/>
      <c r="O1369" s="540"/>
      <c r="S1369" s="550"/>
      <c r="T1369" s="547"/>
      <c r="U1369" s="547"/>
      <c r="V1369" s="547"/>
      <c r="W1369" s="549"/>
    </row>
    <row r="1370" spans="1:23">
      <c r="A1370" s="565">
        <v>2064</v>
      </c>
      <c r="B1370" s="696" t="s">
        <v>6777</v>
      </c>
      <c r="C1370" s="566">
        <f t="shared" si="21"/>
        <v>2064</v>
      </c>
      <c r="D1370" s="700" t="s">
        <v>2234</v>
      </c>
      <c r="E1370" s="701" t="s">
        <v>9246</v>
      </c>
      <c r="F1370" s="566">
        <v>1</v>
      </c>
      <c r="G1370" s="662">
        <v>29950.805186718571</v>
      </c>
      <c r="H1370" s="662">
        <v>30676.484909304792</v>
      </c>
      <c r="I1370" s="662">
        <v>0</v>
      </c>
      <c r="J1370" s="662">
        <v>0</v>
      </c>
      <c r="K1370" s="566" t="s">
        <v>3071</v>
      </c>
      <c r="L1370" s="549"/>
      <c r="M1370" s="540"/>
      <c r="O1370" s="540"/>
      <c r="S1370" s="550"/>
      <c r="T1370" s="547"/>
      <c r="U1370" s="547"/>
      <c r="V1370" s="547"/>
      <c r="W1370" s="549"/>
    </row>
    <row r="1371" spans="1:23">
      <c r="A1371" s="565">
        <v>2065</v>
      </c>
      <c r="B1371" s="695" t="s">
        <v>6778</v>
      </c>
      <c r="C1371" s="566">
        <f t="shared" si="21"/>
        <v>2065</v>
      </c>
      <c r="D1371" s="699" t="s">
        <v>2234</v>
      </c>
      <c r="E1371" s="701" t="s">
        <v>9247</v>
      </c>
      <c r="F1371" s="567">
        <v>1</v>
      </c>
      <c r="G1371" s="662">
        <v>31834.319666473883</v>
      </c>
      <c r="H1371" s="662">
        <v>32566.670465752377</v>
      </c>
      <c r="I1371" s="662">
        <v>33337.580088312257</v>
      </c>
      <c r="J1371" s="662">
        <v>34149.049857161197</v>
      </c>
      <c r="K1371" s="568" t="s">
        <v>3072</v>
      </c>
      <c r="L1371" s="549"/>
      <c r="M1371" s="540"/>
      <c r="O1371" s="540"/>
      <c r="S1371" s="550"/>
      <c r="T1371" s="547"/>
      <c r="U1371" s="547"/>
      <c r="V1371" s="547"/>
      <c r="W1371" s="549"/>
    </row>
    <row r="1372" spans="1:23">
      <c r="A1372" s="565">
        <v>2066</v>
      </c>
      <c r="B1372" s="696" t="s">
        <v>6779</v>
      </c>
      <c r="C1372" s="566">
        <f t="shared" si="21"/>
        <v>2066</v>
      </c>
      <c r="D1372" s="700" t="s">
        <v>2234</v>
      </c>
      <c r="E1372" s="701" t="s">
        <v>9248</v>
      </c>
      <c r="F1372" s="566">
        <v>1</v>
      </c>
      <c r="G1372" s="662">
        <v>0</v>
      </c>
      <c r="H1372" s="662">
        <v>43640.052250707369</v>
      </c>
      <c r="I1372" s="662">
        <v>44698.085014102973</v>
      </c>
      <c r="J1372" s="662">
        <v>45811.807925725727</v>
      </c>
      <c r="K1372" s="566" t="s">
        <v>3073</v>
      </c>
      <c r="L1372" s="549"/>
      <c r="M1372" s="540"/>
      <c r="O1372" s="540"/>
      <c r="S1372" s="550"/>
      <c r="T1372" s="547"/>
      <c r="U1372" s="547"/>
      <c r="V1372" s="547"/>
      <c r="W1372" s="549"/>
    </row>
    <row r="1373" spans="1:23">
      <c r="A1373" s="565">
        <v>2067</v>
      </c>
      <c r="B1373" s="696" t="s">
        <v>6780</v>
      </c>
      <c r="C1373" s="566">
        <f t="shared" si="21"/>
        <v>2067</v>
      </c>
      <c r="D1373" s="700" t="s">
        <v>2234</v>
      </c>
      <c r="E1373" s="701" t="s">
        <v>9249</v>
      </c>
      <c r="F1373" s="566">
        <v>1</v>
      </c>
      <c r="G1373" s="662">
        <v>0</v>
      </c>
      <c r="H1373" s="662">
        <v>0</v>
      </c>
      <c r="I1373" s="662">
        <v>0</v>
      </c>
      <c r="J1373" s="662">
        <v>28091.714698350581</v>
      </c>
      <c r="K1373" s="566" t="s">
        <v>4807</v>
      </c>
      <c r="L1373" s="549"/>
      <c r="M1373" s="540"/>
      <c r="O1373" s="540"/>
      <c r="S1373" s="550"/>
      <c r="T1373" s="547"/>
      <c r="U1373" s="547"/>
      <c r="V1373" s="547"/>
      <c r="W1373" s="549"/>
    </row>
    <row r="1374" spans="1:23">
      <c r="A1374" s="565">
        <v>2068</v>
      </c>
      <c r="B1374" s="696" t="s">
        <v>6781</v>
      </c>
      <c r="C1374" s="566">
        <f t="shared" si="21"/>
        <v>2068</v>
      </c>
      <c r="D1374" s="700" t="s">
        <v>2234</v>
      </c>
      <c r="E1374" s="701" t="s">
        <v>9250</v>
      </c>
      <c r="F1374" s="566">
        <v>1</v>
      </c>
      <c r="G1374" s="662">
        <v>0</v>
      </c>
      <c r="H1374" s="662">
        <v>0</v>
      </c>
      <c r="I1374" s="662">
        <v>0</v>
      </c>
      <c r="J1374" s="662">
        <v>63407.011497350089</v>
      </c>
      <c r="K1374" s="566" t="s">
        <v>4808</v>
      </c>
      <c r="L1374" s="549"/>
      <c r="M1374" s="540"/>
      <c r="O1374" s="540"/>
      <c r="S1374" s="550"/>
      <c r="T1374" s="547"/>
      <c r="U1374" s="547"/>
      <c r="V1374" s="547"/>
      <c r="W1374" s="549"/>
    </row>
    <row r="1375" spans="1:23">
      <c r="A1375" s="565">
        <v>2069</v>
      </c>
      <c r="B1375" s="696" t="s">
        <v>6782</v>
      </c>
      <c r="C1375" s="566">
        <f t="shared" si="21"/>
        <v>2069</v>
      </c>
      <c r="D1375" s="700" t="s">
        <v>2234</v>
      </c>
      <c r="E1375" s="701" t="s">
        <v>9251</v>
      </c>
      <c r="F1375" s="566">
        <v>1</v>
      </c>
      <c r="G1375" s="662">
        <v>0</v>
      </c>
      <c r="H1375" s="662">
        <v>0</v>
      </c>
      <c r="I1375" s="662">
        <v>0</v>
      </c>
      <c r="J1375" s="662">
        <v>34530.291729305936</v>
      </c>
      <c r="K1375" s="566" t="s">
        <v>4809</v>
      </c>
      <c r="L1375" s="549"/>
      <c r="M1375" s="540"/>
      <c r="O1375" s="540"/>
      <c r="S1375" s="550"/>
      <c r="T1375" s="547"/>
      <c r="U1375" s="547"/>
      <c r="V1375" s="547"/>
      <c r="W1375" s="549"/>
    </row>
    <row r="1376" spans="1:23">
      <c r="A1376" s="565">
        <v>2070</v>
      </c>
      <c r="B1376" s="696" t="s">
        <v>6783</v>
      </c>
      <c r="C1376" s="566">
        <f t="shared" si="21"/>
        <v>2070</v>
      </c>
      <c r="D1376" s="700" t="s">
        <v>2234</v>
      </c>
      <c r="E1376" s="701" t="s">
        <v>9252</v>
      </c>
      <c r="F1376" s="566">
        <v>1</v>
      </c>
      <c r="G1376" s="662">
        <v>29177.567767591157</v>
      </c>
      <c r="H1376" s="662">
        <v>0</v>
      </c>
      <c r="I1376" s="662">
        <v>0</v>
      </c>
      <c r="J1376" s="662">
        <v>0</v>
      </c>
      <c r="K1376" s="566" t="s">
        <v>5286</v>
      </c>
      <c r="L1376" s="549"/>
      <c r="M1376" s="540"/>
      <c r="O1376" s="540"/>
      <c r="S1376" s="550"/>
      <c r="T1376" s="547"/>
      <c r="U1376" s="547"/>
      <c r="V1376" s="547"/>
      <c r="W1376" s="549"/>
    </row>
    <row r="1377" spans="1:23">
      <c r="A1377" s="565">
        <v>2071</v>
      </c>
      <c r="B1377" s="696" t="s">
        <v>6784</v>
      </c>
      <c r="C1377" s="566">
        <f t="shared" si="21"/>
        <v>2071</v>
      </c>
      <c r="D1377" s="700" t="s">
        <v>2234</v>
      </c>
      <c r="E1377" s="701" t="s">
        <v>9253</v>
      </c>
      <c r="F1377" s="566">
        <v>1</v>
      </c>
      <c r="G1377" s="662">
        <v>0</v>
      </c>
      <c r="H1377" s="662">
        <v>0</v>
      </c>
      <c r="I1377" s="662">
        <v>43508.952824737346</v>
      </c>
      <c r="J1377" s="662">
        <v>44562.636046129577</v>
      </c>
      <c r="K1377" s="566" t="s">
        <v>4072</v>
      </c>
      <c r="L1377" s="549"/>
      <c r="M1377" s="540"/>
      <c r="O1377" s="540"/>
      <c r="S1377" s="550"/>
      <c r="T1377" s="547"/>
      <c r="U1377" s="547"/>
      <c r="V1377" s="547"/>
      <c r="W1377" s="549"/>
    </row>
    <row r="1378" spans="1:23">
      <c r="A1378" s="565">
        <v>2072</v>
      </c>
      <c r="B1378" s="696" t="s">
        <v>6785</v>
      </c>
      <c r="C1378" s="566">
        <f t="shared" si="21"/>
        <v>2072</v>
      </c>
      <c r="D1378" s="700" t="s">
        <v>2234</v>
      </c>
      <c r="E1378" s="701" t="s">
        <v>9254</v>
      </c>
      <c r="F1378" s="566">
        <v>1</v>
      </c>
      <c r="G1378" s="662">
        <v>32199.001855496554</v>
      </c>
      <c r="H1378" s="662">
        <v>33003.960653493821</v>
      </c>
      <c r="I1378" s="662">
        <v>33851.294130640461</v>
      </c>
      <c r="J1378" s="662">
        <v>34743.217084398297</v>
      </c>
      <c r="K1378" s="566" t="s">
        <v>2058</v>
      </c>
      <c r="L1378" s="549"/>
      <c r="M1378" s="540"/>
      <c r="O1378" s="540"/>
      <c r="S1378" s="550"/>
      <c r="T1378" s="547"/>
      <c r="U1378" s="547"/>
      <c r="V1378" s="547"/>
      <c r="W1378" s="549"/>
    </row>
    <row r="1379" spans="1:23">
      <c r="A1379" s="565">
        <v>2073</v>
      </c>
      <c r="B1379" s="696" t="s">
        <v>6786</v>
      </c>
      <c r="C1379" s="566">
        <f t="shared" si="21"/>
        <v>2073</v>
      </c>
      <c r="D1379" s="700" t="s">
        <v>2234</v>
      </c>
      <c r="E1379" s="701" t="s">
        <v>9255</v>
      </c>
      <c r="F1379" s="566">
        <v>1</v>
      </c>
      <c r="G1379" s="662">
        <v>0</v>
      </c>
      <c r="H1379" s="662">
        <v>0</v>
      </c>
      <c r="I1379" s="662">
        <v>36550.171703119995</v>
      </c>
      <c r="J1379" s="662">
        <v>37401.667932122611</v>
      </c>
      <c r="K1379" s="566" t="s">
        <v>4073</v>
      </c>
      <c r="L1379" s="549"/>
      <c r="M1379" s="540"/>
      <c r="O1379" s="540"/>
      <c r="S1379" s="550"/>
      <c r="T1379" s="547"/>
      <c r="U1379" s="547"/>
      <c r="V1379" s="547"/>
      <c r="W1379" s="549"/>
    </row>
    <row r="1380" spans="1:23">
      <c r="A1380" s="565">
        <v>2074</v>
      </c>
      <c r="B1380" s="696" t="s">
        <v>6787</v>
      </c>
      <c r="C1380" s="566">
        <f t="shared" si="21"/>
        <v>2074</v>
      </c>
      <c r="D1380" s="700" t="s">
        <v>2234</v>
      </c>
      <c r="E1380" s="701" t="s">
        <v>9256</v>
      </c>
      <c r="F1380" s="566">
        <v>1</v>
      </c>
      <c r="G1380" s="662">
        <v>53799.096352387125</v>
      </c>
      <c r="H1380" s="662">
        <v>55113.832146901674</v>
      </c>
      <c r="I1380" s="662">
        <v>56497.760348868564</v>
      </c>
      <c r="J1380" s="662">
        <v>57954.536708315136</v>
      </c>
      <c r="K1380" s="566" t="s">
        <v>2059</v>
      </c>
      <c r="L1380" s="549"/>
      <c r="M1380" s="540"/>
      <c r="O1380" s="540"/>
      <c r="S1380" s="550"/>
      <c r="T1380" s="547"/>
      <c r="U1380" s="547"/>
      <c r="V1380" s="547"/>
      <c r="W1380" s="549"/>
    </row>
    <row r="1381" spans="1:23">
      <c r="A1381" s="565">
        <v>2075</v>
      </c>
      <c r="B1381" s="696" t="s">
        <v>6788</v>
      </c>
      <c r="C1381" s="566">
        <f t="shared" si="21"/>
        <v>2075</v>
      </c>
      <c r="D1381" s="700" t="s">
        <v>2234</v>
      </c>
      <c r="E1381" s="701" t="s">
        <v>9257</v>
      </c>
      <c r="F1381" s="566">
        <v>1</v>
      </c>
      <c r="G1381" s="662">
        <v>48438.527610658108</v>
      </c>
      <c r="H1381" s="662">
        <v>49616.239489913212</v>
      </c>
      <c r="I1381" s="662">
        <v>50855.912329486229</v>
      </c>
      <c r="J1381" s="662">
        <v>52160.85498341651</v>
      </c>
      <c r="K1381" s="566" t="s">
        <v>2060</v>
      </c>
      <c r="L1381" s="549"/>
      <c r="M1381" s="540"/>
      <c r="O1381" s="540"/>
      <c r="S1381" s="550"/>
      <c r="T1381" s="547"/>
      <c r="U1381" s="547"/>
      <c r="V1381" s="547"/>
      <c r="W1381" s="549"/>
    </row>
    <row r="1382" spans="1:23">
      <c r="A1382" s="565">
        <v>2076</v>
      </c>
      <c r="B1382" s="695" t="s">
        <v>6789</v>
      </c>
      <c r="C1382" s="566">
        <f t="shared" si="21"/>
        <v>2076</v>
      </c>
      <c r="D1382" s="699" t="s">
        <v>2234</v>
      </c>
      <c r="E1382" s="701" t="s">
        <v>9258</v>
      </c>
      <c r="F1382" s="567">
        <v>1</v>
      </c>
      <c r="G1382" s="662">
        <v>0</v>
      </c>
      <c r="H1382" s="662">
        <v>44025.893403163798</v>
      </c>
      <c r="I1382" s="662">
        <v>45063.165775893023</v>
      </c>
      <c r="J1382" s="662">
        <v>46155.034240271882</v>
      </c>
      <c r="K1382" s="568" t="s">
        <v>3149</v>
      </c>
      <c r="L1382" s="549"/>
      <c r="M1382" s="540"/>
      <c r="O1382" s="540"/>
      <c r="S1382" s="550"/>
      <c r="T1382" s="547"/>
      <c r="U1382" s="547"/>
      <c r="V1382" s="547"/>
      <c r="W1382" s="549"/>
    </row>
    <row r="1383" spans="1:23">
      <c r="A1383" s="565">
        <v>2077</v>
      </c>
      <c r="B1383" s="696" t="s">
        <v>6790</v>
      </c>
      <c r="C1383" s="566">
        <f t="shared" si="21"/>
        <v>2077</v>
      </c>
      <c r="D1383" s="700" t="s">
        <v>2234</v>
      </c>
      <c r="E1383" s="701" t="s">
        <v>9259</v>
      </c>
      <c r="F1383" s="566">
        <v>1</v>
      </c>
      <c r="G1383" s="662">
        <v>0</v>
      </c>
      <c r="H1383" s="662">
        <v>39148.211330540311</v>
      </c>
      <c r="I1383" s="662">
        <v>0</v>
      </c>
      <c r="J1383" s="662">
        <v>0</v>
      </c>
      <c r="K1383" s="566" t="s">
        <v>3150</v>
      </c>
      <c r="L1383" s="549"/>
      <c r="M1383" s="540"/>
      <c r="O1383" s="540"/>
      <c r="S1383" s="550"/>
      <c r="T1383" s="547"/>
      <c r="U1383" s="547"/>
      <c r="V1383" s="547"/>
      <c r="W1383" s="549"/>
    </row>
    <row r="1384" spans="1:23">
      <c r="A1384" s="565">
        <v>2078</v>
      </c>
      <c r="B1384" s="696" t="s">
        <v>6791</v>
      </c>
      <c r="C1384" s="566">
        <f t="shared" si="21"/>
        <v>2078</v>
      </c>
      <c r="D1384" s="700" t="s">
        <v>2234</v>
      </c>
      <c r="E1384" s="701" t="s">
        <v>9260</v>
      </c>
      <c r="F1384" s="566">
        <v>1</v>
      </c>
      <c r="G1384" s="662">
        <v>0</v>
      </c>
      <c r="H1384" s="662">
        <v>43329.081678503295</v>
      </c>
      <c r="I1384" s="662">
        <v>44349.035936139378</v>
      </c>
      <c r="J1384" s="662">
        <v>45422.679018994917</v>
      </c>
      <c r="K1384" s="566" t="s">
        <v>3151</v>
      </c>
      <c r="L1384" s="549"/>
      <c r="M1384" s="540"/>
      <c r="O1384" s="540"/>
      <c r="S1384" s="550"/>
      <c r="T1384" s="547"/>
      <c r="U1384" s="547"/>
      <c r="V1384" s="547"/>
      <c r="W1384" s="549"/>
    </row>
    <row r="1385" spans="1:23">
      <c r="A1385" s="565">
        <v>2079</v>
      </c>
      <c r="B1385" s="696" t="s">
        <v>6792</v>
      </c>
      <c r="C1385" s="566">
        <f t="shared" si="21"/>
        <v>2079</v>
      </c>
      <c r="D1385" s="700" t="s">
        <v>2234</v>
      </c>
      <c r="E1385" s="701" t="s">
        <v>9261</v>
      </c>
      <c r="F1385" s="566">
        <v>1</v>
      </c>
      <c r="G1385" s="662">
        <v>0</v>
      </c>
      <c r="H1385" s="662">
        <v>42632.269953842806</v>
      </c>
      <c r="I1385" s="662">
        <v>43634.906096385712</v>
      </c>
      <c r="J1385" s="662">
        <v>44690.323797717952</v>
      </c>
      <c r="K1385" s="566" t="s">
        <v>3152</v>
      </c>
      <c r="L1385" s="549"/>
      <c r="M1385" s="540"/>
      <c r="O1385" s="540"/>
      <c r="S1385" s="550"/>
      <c r="T1385" s="547"/>
      <c r="U1385" s="547"/>
      <c r="V1385" s="547"/>
      <c r="W1385" s="549"/>
    </row>
    <row r="1386" spans="1:23">
      <c r="A1386" s="565">
        <v>2080</v>
      </c>
      <c r="B1386" s="696" t="s">
        <v>6793</v>
      </c>
      <c r="C1386" s="566">
        <f t="shared" si="21"/>
        <v>2080</v>
      </c>
      <c r="D1386" s="700" t="s">
        <v>2234</v>
      </c>
      <c r="E1386" s="701" t="s">
        <v>9262</v>
      </c>
      <c r="F1386" s="566">
        <v>1</v>
      </c>
      <c r="G1386" s="662">
        <v>0</v>
      </c>
      <c r="H1386" s="662">
        <v>38451.399605879807</v>
      </c>
      <c r="I1386" s="662">
        <v>39350.12705786377</v>
      </c>
      <c r="J1386" s="662">
        <v>40296.165785749385</v>
      </c>
      <c r="K1386" s="566" t="s">
        <v>3153</v>
      </c>
      <c r="L1386" s="549"/>
      <c r="M1386" s="540"/>
      <c r="O1386" s="540"/>
      <c r="S1386" s="550"/>
      <c r="T1386" s="547"/>
      <c r="U1386" s="547"/>
      <c r="V1386" s="547"/>
      <c r="W1386" s="549"/>
    </row>
    <row r="1387" spans="1:23">
      <c r="A1387" s="565">
        <v>2081</v>
      </c>
      <c r="B1387" s="696" t="s">
        <v>6794</v>
      </c>
      <c r="C1387" s="566">
        <f t="shared" si="21"/>
        <v>2081</v>
      </c>
      <c r="D1387" s="700" t="s">
        <v>2234</v>
      </c>
      <c r="E1387" s="701" t="s">
        <v>9263</v>
      </c>
      <c r="F1387" s="566">
        <v>1</v>
      </c>
      <c r="G1387" s="662">
        <v>46096.180341932086</v>
      </c>
      <c r="H1387" s="662">
        <v>47275.119699298572</v>
      </c>
      <c r="I1387" s="662">
        <v>48516.126754210047</v>
      </c>
      <c r="J1387" s="662">
        <v>49822.430307785551</v>
      </c>
      <c r="K1387" s="566" t="s">
        <v>2061</v>
      </c>
      <c r="L1387" s="549"/>
      <c r="M1387" s="540"/>
      <c r="O1387" s="540"/>
      <c r="S1387" s="550"/>
      <c r="T1387" s="547"/>
      <c r="U1387" s="547"/>
      <c r="V1387" s="547"/>
      <c r="W1387" s="549"/>
    </row>
    <row r="1388" spans="1:23">
      <c r="A1388" s="565">
        <v>2082</v>
      </c>
      <c r="B1388" s="696" t="s">
        <v>6795</v>
      </c>
      <c r="C1388" s="566">
        <f t="shared" si="21"/>
        <v>2082</v>
      </c>
      <c r="D1388" s="700" t="s">
        <v>2234</v>
      </c>
      <c r="E1388" s="701" t="s">
        <v>9264</v>
      </c>
      <c r="F1388" s="566">
        <v>1</v>
      </c>
      <c r="G1388" s="662">
        <v>55428.278482243761</v>
      </c>
      <c r="H1388" s="662">
        <v>56894.180874605365</v>
      </c>
      <c r="I1388" s="662">
        <v>58437.227597836521</v>
      </c>
      <c r="J1388" s="662">
        <v>60061.501350872844</v>
      </c>
      <c r="K1388" s="566" t="s">
        <v>2062</v>
      </c>
      <c r="L1388" s="549"/>
      <c r="M1388" s="540"/>
      <c r="O1388" s="540"/>
      <c r="S1388" s="550"/>
      <c r="T1388" s="547"/>
      <c r="U1388" s="547"/>
      <c r="V1388" s="547"/>
      <c r="W1388" s="549"/>
    </row>
    <row r="1389" spans="1:23">
      <c r="A1389" s="565">
        <v>2083</v>
      </c>
      <c r="B1389" s="696" t="s">
        <v>6796</v>
      </c>
      <c r="C1389" s="566">
        <f t="shared" si="21"/>
        <v>2083</v>
      </c>
      <c r="D1389" s="700" t="s">
        <v>2234</v>
      </c>
      <c r="E1389" s="701" t="s">
        <v>9265</v>
      </c>
      <c r="F1389" s="566">
        <v>1</v>
      </c>
      <c r="G1389" s="662">
        <v>54865.009754950464</v>
      </c>
      <c r="H1389" s="662">
        <v>56315.355196465665</v>
      </c>
      <c r="I1389" s="662">
        <v>57842.071123954105</v>
      </c>
      <c r="J1389" s="662">
        <v>59449.133499124357</v>
      </c>
      <c r="K1389" s="566" t="s">
        <v>2063</v>
      </c>
      <c r="L1389" s="549"/>
      <c r="M1389" s="540"/>
      <c r="O1389" s="540"/>
      <c r="S1389" s="550"/>
      <c r="T1389" s="547"/>
      <c r="U1389" s="547"/>
      <c r="V1389" s="547"/>
      <c r="W1389" s="549"/>
    </row>
    <row r="1390" spans="1:23">
      <c r="A1390" s="565">
        <v>2084</v>
      </c>
      <c r="B1390" s="696" t="s">
        <v>6797</v>
      </c>
      <c r="C1390" s="566">
        <f t="shared" si="21"/>
        <v>2084</v>
      </c>
      <c r="D1390" s="700" t="s">
        <v>2234</v>
      </c>
      <c r="E1390" s="701" t="s">
        <v>9266</v>
      </c>
      <c r="F1390" s="566">
        <v>1</v>
      </c>
      <c r="G1390" s="662">
        <v>72441.388943813392</v>
      </c>
      <c r="H1390" s="662">
        <v>0</v>
      </c>
      <c r="I1390" s="662">
        <v>0</v>
      </c>
      <c r="J1390" s="662">
        <v>0</v>
      </c>
      <c r="K1390" s="566" t="s">
        <v>5287</v>
      </c>
      <c r="L1390" s="549"/>
      <c r="M1390" s="540"/>
      <c r="O1390" s="540"/>
      <c r="S1390" s="550"/>
      <c r="T1390" s="547"/>
      <c r="U1390" s="547"/>
      <c r="V1390" s="547"/>
      <c r="W1390" s="549"/>
    </row>
    <row r="1391" spans="1:23">
      <c r="A1391" s="565">
        <v>2085</v>
      </c>
      <c r="B1391" s="696" t="s">
        <v>6798</v>
      </c>
      <c r="C1391" s="566">
        <f t="shared" si="21"/>
        <v>2085</v>
      </c>
      <c r="D1391" s="700" t="s">
        <v>2234</v>
      </c>
      <c r="E1391" s="701" t="s">
        <v>9267</v>
      </c>
      <c r="F1391" s="566">
        <v>1</v>
      </c>
      <c r="G1391" s="662">
        <v>0</v>
      </c>
      <c r="H1391" s="662">
        <v>0</v>
      </c>
      <c r="I1391" s="662">
        <v>111947.28832877355</v>
      </c>
      <c r="J1391" s="662">
        <v>114672.50321049025</v>
      </c>
      <c r="K1391" s="566" t="s">
        <v>4074</v>
      </c>
      <c r="L1391" s="549"/>
      <c r="M1391" s="540"/>
      <c r="O1391" s="540"/>
      <c r="S1391" s="550"/>
      <c r="T1391" s="547"/>
      <c r="U1391" s="547"/>
      <c r="V1391" s="547"/>
      <c r="W1391" s="549"/>
    </row>
    <row r="1392" spans="1:23">
      <c r="A1392" s="565">
        <v>2086</v>
      </c>
      <c r="B1392" s="696" t="s">
        <v>6799</v>
      </c>
      <c r="C1392" s="566">
        <f t="shared" si="21"/>
        <v>2086</v>
      </c>
      <c r="D1392" s="700" t="s">
        <v>4584</v>
      </c>
      <c r="E1392" s="701" t="s">
        <v>9268</v>
      </c>
      <c r="F1392" s="566">
        <v>1</v>
      </c>
      <c r="G1392" s="662">
        <v>0</v>
      </c>
      <c r="H1392" s="662">
        <v>0</v>
      </c>
      <c r="I1392" s="662">
        <v>0</v>
      </c>
      <c r="J1392" s="662">
        <v>62969.895488018614</v>
      </c>
      <c r="K1392" s="566" t="s">
        <v>4810</v>
      </c>
      <c r="L1392" s="549"/>
      <c r="M1392" s="540"/>
      <c r="O1392" s="540"/>
      <c r="S1392" s="550"/>
      <c r="T1392" s="547"/>
      <c r="U1392" s="547"/>
      <c r="V1392" s="547"/>
      <c r="W1392" s="549"/>
    </row>
    <row r="1393" spans="1:23">
      <c r="A1393" s="565">
        <v>2087</v>
      </c>
      <c r="B1393" s="696" t="s">
        <v>6800</v>
      </c>
      <c r="C1393" s="566">
        <f t="shared" si="21"/>
        <v>2087</v>
      </c>
      <c r="D1393" s="700" t="s">
        <v>4585</v>
      </c>
      <c r="E1393" s="701" t="s">
        <v>9269</v>
      </c>
      <c r="F1393" s="566">
        <v>2</v>
      </c>
      <c r="G1393" s="662">
        <v>0</v>
      </c>
      <c r="H1393" s="662">
        <v>0</v>
      </c>
      <c r="I1393" s="662">
        <v>0</v>
      </c>
      <c r="J1393" s="662">
        <v>20241.487362999171</v>
      </c>
      <c r="K1393" s="566" t="s">
        <v>4811</v>
      </c>
      <c r="L1393" s="549"/>
      <c r="M1393" s="540"/>
      <c r="O1393" s="540"/>
      <c r="S1393" s="550"/>
      <c r="T1393" s="547"/>
      <c r="U1393" s="547"/>
      <c r="V1393" s="547"/>
      <c r="W1393" s="549"/>
    </row>
    <row r="1394" spans="1:23">
      <c r="A1394" s="565">
        <v>2088</v>
      </c>
      <c r="B1394" s="696" t="s">
        <v>6801</v>
      </c>
      <c r="C1394" s="566">
        <f t="shared" si="21"/>
        <v>2088</v>
      </c>
      <c r="D1394" s="700" t="s">
        <v>4585</v>
      </c>
      <c r="E1394" s="701" t="s">
        <v>9270</v>
      </c>
      <c r="F1394" s="566">
        <v>1</v>
      </c>
      <c r="G1394" s="662">
        <v>0</v>
      </c>
      <c r="H1394" s="662">
        <v>0</v>
      </c>
      <c r="I1394" s="662">
        <v>0</v>
      </c>
      <c r="J1394" s="662">
        <v>22036.16920605399</v>
      </c>
      <c r="K1394" s="566" t="s">
        <v>4812</v>
      </c>
      <c r="L1394" s="549"/>
      <c r="M1394" s="540"/>
      <c r="O1394" s="540"/>
      <c r="S1394" s="550"/>
      <c r="T1394" s="547"/>
      <c r="U1394" s="547"/>
      <c r="V1394" s="547"/>
      <c r="W1394" s="549"/>
    </row>
    <row r="1395" spans="1:23">
      <c r="A1395" s="565">
        <v>2089</v>
      </c>
      <c r="B1395" s="696" t="s">
        <v>6802</v>
      </c>
      <c r="C1395" s="566">
        <f t="shared" si="21"/>
        <v>2089</v>
      </c>
      <c r="D1395" s="700" t="s">
        <v>4585</v>
      </c>
      <c r="E1395" s="701" t="s">
        <v>9271</v>
      </c>
      <c r="F1395" s="566">
        <v>1</v>
      </c>
      <c r="G1395" s="662">
        <v>0</v>
      </c>
      <c r="H1395" s="662">
        <v>0</v>
      </c>
      <c r="I1395" s="662">
        <v>0</v>
      </c>
      <c r="J1395" s="662">
        <v>24854.880750641008</v>
      </c>
      <c r="K1395" s="566" t="s">
        <v>4813</v>
      </c>
      <c r="L1395" s="549"/>
      <c r="M1395" s="540"/>
      <c r="O1395" s="540"/>
      <c r="S1395" s="550"/>
      <c r="T1395" s="547"/>
      <c r="U1395" s="547"/>
      <c r="V1395" s="547"/>
      <c r="W1395" s="549"/>
    </row>
    <row r="1396" spans="1:23">
      <c r="A1396" s="565">
        <v>2090</v>
      </c>
      <c r="B1396" s="695" t="s">
        <v>6803</v>
      </c>
      <c r="C1396" s="566">
        <f t="shared" si="21"/>
        <v>2090</v>
      </c>
      <c r="D1396" s="699" t="s">
        <v>2235</v>
      </c>
      <c r="E1396" s="701" t="s">
        <v>9272</v>
      </c>
      <c r="F1396" s="567">
        <v>1</v>
      </c>
      <c r="G1396" s="662">
        <v>0</v>
      </c>
      <c r="H1396" s="662">
        <v>0</v>
      </c>
      <c r="I1396" s="662">
        <v>21790.071326377856</v>
      </c>
      <c r="J1396" s="662">
        <v>22452.655817812578</v>
      </c>
      <c r="K1396" s="568" t="s">
        <v>4075</v>
      </c>
      <c r="L1396" s="549"/>
      <c r="M1396" s="540"/>
      <c r="O1396" s="540"/>
      <c r="S1396" s="550"/>
      <c r="T1396" s="547"/>
      <c r="U1396" s="547"/>
      <c r="V1396" s="547"/>
      <c r="W1396" s="549"/>
    </row>
    <row r="1397" spans="1:23">
      <c r="A1397" s="565">
        <v>2091</v>
      </c>
      <c r="B1397" s="695" t="s">
        <v>6804</v>
      </c>
      <c r="C1397" s="566">
        <f t="shared" si="21"/>
        <v>2091</v>
      </c>
      <c r="D1397" s="699" t="s">
        <v>2235</v>
      </c>
      <c r="E1397" s="701" t="s">
        <v>9273</v>
      </c>
      <c r="F1397" s="567">
        <v>1</v>
      </c>
      <c r="G1397" s="662">
        <v>0</v>
      </c>
      <c r="H1397" s="662">
        <v>0</v>
      </c>
      <c r="I1397" s="662">
        <v>0</v>
      </c>
      <c r="J1397" s="662">
        <v>24744.329914421513</v>
      </c>
      <c r="K1397" s="568" t="s">
        <v>4814</v>
      </c>
      <c r="L1397" s="549"/>
      <c r="M1397" s="540"/>
      <c r="O1397" s="540"/>
      <c r="S1397" s="550"/>
      <c r="T1397" s="547"/>
      <c r="U1397" s="547"/>
      <c r="V1397" s="547"/>
      <c r="W1397" s="549"/>
    </row>
    <row r="1398" spans="1:23">
      <c r="A1398" s="565">
        <v>2092</v>
      </c>
      <c r="B1398" s="695" t="s">
        <v>6805</v>
      </c>
      <c r="C1398" s="566">
        <f t="shared" si="21"/>
        <v>2092</v>
      </c>
      <c r="D1398" s="699" t="s">
        <v>2235</v>
      </c>
      <c r="E1398" s="701" t="s">
        <v>9274</v>
      </c>
      <c r="F1398" s="567">
        <v>1</v>
      </c>
      <c r="G1398" s="662">
        <v>0</v>
      </c>
      <c r="H1398" s="662">
        <v>0</v>
      </c>
      <c r="I1398" s="662">
        <v>0</v>
      </c>
      <c r="J1398" s="662">
        <v>21790.071326377856</v>
      </c>
      <c r="K1398" s="568" t="s">
        <v>4815</v>
      </c>
      <c r="L1398" s="549"/>
      <c r="M1398" s="540"/>
      <c r="O1398" s="540"/>
      <c r="S1398" s="550"/>
      <c r="T1398" s="547"/>
      <c r="U1398" s="547"/>
      <c r="V1398" s="547"/>
      <c r="W1398" s="549"/>
    </row>
    <row r="1399" spans="1:23">
      <c r="A1399" s="565">
        <v>2093</v>
      </c>
      <c r="B1399" s="696" t="s">
        <v>6806</v>
      </c>
      <c r="C1399" s="566">
        <f t="shared" si="21"/>
        <v>2093</v>
      </c>
      <c r="D1399" s="700" t="s">
        <v>2235</v>
      </c>
      <c r="E1399" s="701" t="s">
        <v>9275</v>
      </c>
      <c r="F1399" s="566">
        <v>1</v>
      </c>
      <c r="G1399" s="662">
        <v>0</v>
      </c>
      <c r="H1399" s="662">
        <v>0</v>
      </c>
      <c r="I1399" s="662">
        <v>0</v>
      </c>
      <c r="J1399" s="662">
        <v>18581.135273847682</v>
      </c>
      <c r="K1399" s="566" t="s">
        <v>4816</v>
      </c>
      <c r="L1399" s="549"/>
      <c r="M1399" s="540"/>
      <c r="O1399" s="540"/>
      <c r="S1399" s="550"/>
      <c r="T1399" s="547"/>
      <c r="U1399" s="547"/>
      <c r="V1399" s="547"/>
      <c r="W1399" s="549"/>
    </row>
    <row r="1400" spans="1:23">
      <c r="A1400" s="565">
        <v>2094</v>
      </c>
      <c r="B1400" s="695" t="s">
        <v>6807</v>
      </c>
      <c r="C1400" s="566">
        <f t="shared" si="21"/>
        <v>2094</v>
      </c>
      <c r="D1400" s="699" t="s">
        <v>2235</v>
      </c>
      <c r="E1400" s="701" t="s">
        <v>9276</v>
      </c>
      <c r="F1400" s="567">
        <v>1</v>
      </c>
      <c r="G1400" s="662">
        <v>0</v>
      </c>
      <c r="H1400" s="662">
        <v>0</v>
      </c>
      <c r="I1400" s="662">
        <v>0</v>
      </c>
      <c r="J1400" s="662">
        <v>20160.13555366412</v>
      </c>
      <c r="K1400" s="568" t="s">
        <v>4817</v>
      </c>
      <c r="L1400" s="549"/>
      <c r="M1400" s="540"/>
      <c r="O1400" s="540"/>
      <c r="S1400" s="550"/>
      <c r="T1400" s="547"/>
      <c r="U1400" s="547"/>
      <c r="V1400" s="547"/>
      <c r="W1400" s="549"/>
    </row>
    <row r="1401" spans="1:23">
      <c r="A1401" s="565">
        <v>2095</v>
      </c>
      <c r="B1401" s="696" t="s">
        <v>6808</v>
      </c>
      <c r="C1401" s="566">
        <f t="shared" si="21"/>
        <v>2095</v>
      </c>
      <c r="D1401" s="700" t="s">
        <v>2235</v>
      </c>
      <c r="E1401" s="701" t="s">
        <v>9277</v>
      </c>
      <c r="F1401" s="566">
        <v>1</v>
      </c>
      <c r="G1401" s="662">
        <v>18195.891138536797</v>
      </c>
      <c r="H1401" s="662">
        <v>18731.221856938821</v>
      </c>
      <c r="I1401" s="662">
        <v>0</v>
      </c>
      <c r="J1401" s="662">
        <v>0</v>
      </c>
      <c r="K1401" s="566" t="s">
        <v>2064</v>
      </c>
      <c r="L1401" s="549"/>
      <c r="M1401" s="540"/>
      <c r="O1401" s="540"/>
      <c r="S1401" s="550"/>
      <c r="T1401" s="547"/>
      <c r="U1401" s="547"/>
      <c r="V1401" s="547"/>
      <c r="W1401" s="549"/>
    </row>
    <row r="1402" spans="1:23">
      <c r="A1402" s="565">
        <v>2096</v>
      </c>
      <c r="B1402" s="696" t="s">
        <v>6809</v>
      </c>
      <c r="C1402" s="566">
        <f t="shared" si="21"/>
        <v>2096</v>
      </c>
      <c r="D1402" s="700" t="s">
        <v>2235</v>
      </c>
      <c r="E1402" s="701" t="s">
        <v>9278</v>
      </c>
      <c r="F1402" s="566">
        <v>1</v>
      </c>
      <c r="G1402" s="662">
        <v>16604.942341671449</v>
      </c>
      <c r="H1402" s="662">
        <v>17086.739988233268</v>
      </c>
      <c r="I1402" s="662">
        <v>0</v>
      </c>
      <c r="J1402" s="662">
        <v>0</v>
      </c>
      <c r="K1402" s="566" t="s">
        <v>2065</v>
      </c>
      <c r="L1402" s="549"/>
      <c r="M1402" s="540"/>
      <c r="O1402" s="540"/>
      <c r="S1402" s="550"/>
      <c r="T1402" s="547"/>
      <c r="U1402" s="547"/>
      <c r="V1402" s="547"/>
      <c r="W1402" s="549"/>
    </row>
    <row r="1403" spans="1:23">
      <c r="A1403" s="565">
        <v>2097</v>
      </c>
      <c r="B1403" s="695" t="s">
        <v>6810</v>
      </c>
      <c r="C1403" s="566">
        <f t="shared" si="21"/>
        <v>2097</v>
      </c>
      <c r="D1403" s="699" t="s">
        <v>2235</v>
      </c>
      <c r="E1403" s="701" t="s">
        <v>9279</v>
      </c>
      <c r="F1403" s="567">
        <v>1</v>
      </c>
      <c r="G1403" s="662">
        <v>20133.57318789545</v>
      </c>
      <c r="H1403" s="662">
        <v>20734.088293773486</v>
      </c>
      <c r="I1403" s="662">
        <v>0</v>
      </c>
      <c r="J1403" s="662">
        <v>0</v>
      </c>
      <c r="K1403" s="568" t="s">
        <v>2066</v>
      </c>
      <c r="L1403" s="549"/>
      <c r="M1403" s="540"/>
      <c r="O1403" s="540"/>
      <c r="S1403" s="550"/>
      <c r="T1403" s="547"/>
      <c r="U1403" s="547"/>
      <c r="V1403" s="547"/>
      <c r="W1403" s="549"/>
    </row>
    <row r="1404" spans="1:23">
      <c r="A1404" s="565">
        <v>2098</v>
      </c>
      <c r="B1404" s="695" t="s">
        <v>6811</v>
      </c>
      <c r="C1404" s="566">
        <f t="shared" si="21"/>
        <v>2098</v>
      </c>
      <c r="D1404" s="699" t="s">
        <v>2235</v>
      </c>
      <c r="E1404" s="701" t="s">
        <v>9280</v>
      </c>
      <c r="F1404" s="567">
        <v>1</v>
      </c>
      <c r="G1404" s="662">
        <v>22136.296967478887</v>
      </c>
      <c r="H1404" s="662">
        <v>22804.200763791065</v>
      </c>
      <c r="I1404" s="662">
        <v>0</v>
      </c>
      <c r="J1404" s="662">
        <v>0</v>
      </c>
      <c r="K1404" s="568" t="s">
        <v>2067</v>
      </c>
      <c r="L1404" s="549"/>
      <c r="M1404" s="540"/>
      <c r="O1404" s="540"/>
      <c r="S1404" s="550"/>
      <c r="T1404" s="547"/>
      <c r="U1404" s="547"/>
      <c r="V1404" s="547"/>
      <c r="W1404" s="549"/>
    </row>
    <row r="1405" spans="1:23">
      <c r="A1405" s="565">
        <v>2099</v>
      </c>
      <c r="B1405" s="695" t="s">
        <v>6812</v>
      </c>
      <c r="C1405" s="566">
        <f t="shared" si="21"/>
        <v>2099</v>
      </c>
      <c r="D1405" s="699" t="s">
        <v>2235</v>
      </c>
      <c r="E1405" s="701" t="s">
        <v>9281</v>
      </c>
      <c r="F1405" s="567">
        <v>1</v>
      </c>
      <c r="G1405" s="662">
        <v>24501.954010798647</v>
      </c>
      <c r="H1405" s="662">
        <v>25266.473900082641</v>
      </c>
      <c r="I1405" s="662">
        <v>26071.222204965208</v>
      </c>
      <c r="J1405" s="662">
        <v>26918.328841559338</v>
      </c>
      <c r="K1405" s="568" t="s">
        <v>2068</v>
      </c>
      <c r="L1405" s="549"/>
      <c r="M1405" s="540"/>
      <c r="O1405" s="540"/>
      <c r="S1405" s="550"/>
      <c r="T1405" s="547"/>
      <c r="U1405" s="547"/>
      <c r="V1405" s="547"/>
      <c r="W1405" s="549"/>
    </row>
    <row r="1406" spans="1:23">
      <c r="A1406" s="565">
        <v>2100</v>
      </c>
      <c r="B1406" s="696" t="s">
        <v>6813</v>
      </c>
      <c r="C1406" s="566">
        <f t="shared" si="21"/>
        <v>2100</v>
      </c>
      <c r="D1406" s="700" t="s">
        <v>2235</v>
      </c>
      <c r="E1406" s="701" t="s">
        <v>9282</v>
      </c>
      <c r="F1406" s="566">
        <v>1</v>
      </c>
      <c r="G1406" s="662">
        <v>24856.516868583472</v>
      </c>
      <c r="H1406" s="662">
        <v>25633.276275812441</v>
      </c>
      <c r="I1406" s="662">
        <v>0</v>
      </c>
      <c r="J1406" s="662">
        <v>0</v>
      </c>
      <c r="K1406" s="566" t="s">
        <v>2069</v>
      </c>
      <c r="L1406" s="549"/>
      <c r="M1406" s="540"/>
      <c r="O1406" s="540"/>
      <c r="S1406" s="550"/>
      <c r="T1406" s="547"/>
      <c r="U1406" s="547"/>
      <c r="V1406" s="547"/>
      <c r="W1406" s="549"/>
    </row>
    <row r="1407" spans="1:23">
      <c r="A1407" s="565">
        <v>2101</v>
      </c>
      <c r="B1407" s="696" t="s">
        <v>6814</v>
      </c>
      <c r="C1407" s="566">
        <f t="shared" si="21"/>
        <v>2101</v>
      </c>
      <c r="D1407" s="700" t="s">
        <v>2235</v>
      </c>
      <c r="E1407" s="701" t="s">
        <v>9283</v>
      </c>
      <c r="F1407" s="566">
        <v>1</v>
      </c>
      <c r="G1407" s="662">
        <v>20044.095246797289</v>
      </c>
      <c r="H1407" s="662">
        <v>20654.66119957724</v>
      </c>
      <c r="I1407" s="662">
        <v>21297.355886962763</v>
      </c>
      <c r="J1407" s="662">
        <v>21973.889241607954</v>
      </c>
      <c r="K1407" s="566" t="s">
        <v>2070</v>
      </c>
      <c r="L1407" s="549"/>
      <c r="M1407" s="540"/>
      <c r="O1407" s="540"/>
      <c r="S1407" s="550"/>
      <c r="T1407" s="547"/>
      <c r="U1407" s="547"/>
      <c r="V1407" s="547"/>
      <c r="W1407" s="549"/>
    </row>
    <row r="1408" spans="1:23">
      <c r="A1408" s="565">
        <v>2102</v>
      </c>
      <c r="B1408" s="696" t="s">
        <v>6815</v>
      </c>
      <c r="C1408" s="566">
        <f t="shared" si="21"/>
        <v>2102</v>
      </c>
      <c r="D1408" s="700" t="s">
        <v>2235</v>
      </c>
      <c r="E1408" s="701" t="s">
        <v>9284</v>
      </c>
      <c r="F1408" s="566">
        <v>1</v>
      </c>
      <c r="G1408" s="662">
        <v>22323.680751169875</v>
      </c>
      <c r="H1408" s="662">
        <v>23012.963603674409</v>
      </c>
      <c r="I1408" s="662">
        <v>23738.515027736514</v>
      </c>
      <c r="J1408" s="662">
        <v>24502.254947739693</v>
      </c>
      <c r="K1408" s="566" t="s">
        <v>2071</v>
      </c>
      <c r="L1408" s="549"/>
      <c r="M1408" s="540"/>
      <c r="O1408" s="540"/>
      <c r="S1408" s="550"/>
      <c r="T1408" s="547"/>
      <c r="U1408" s="547"/>
      <c r="V1408" s="547"/>
      <c r="W1408" s="549"/>
    </row>
    <row r="1409" spans="1:23">
      <c r="A1409" s="565">
        <v>2103</v>
      </c>
      <c r="B1409" s="696" t="s">
        <v>6816</v>
      </c>
      <c r="C1409" s="566">
        <f t="shared" si="21"/>
        <v>2103</v>
      </c>
      <c r="D1409" s="700" t="s">
        <v>2235</v>
      </c>
      <c r="E1409" s="701" t="s">
        <v>9285</v>
      </c>
      <c r="F1409" s="566">
        <v>1</v>
      </c>
      <c r="G1409" s="662">
        <v>0</v>
      </c>
      <c r="H1409" s="662">
        <v>10712.066367213623</v>
      </c>
      <c r="I1409" s="662">
        <v>10977.018498947111</v>
      </c>
      <c r="J1409" s="662">
        <v>11255.943525225652</v>
      </c>
      <c r="K1409" s="566" t="s">
        <v>4076</v>
      </c>
      <c r="L1409" s="549"/>
      <c r="M1409" s="540"/>
      <c r="O1409" s="540"/>
      <c r="S1409" s="550"/>
      <c r="T1409" s="547"/>
      <c r="U1409" s="547"/>
      <c r="V1409" s="547"/>
      <c r="W1409" s="549"/>
    </row>
    <row r="1410" spans="1:23">
      <c r="A1410" s="565">
        <v>2104</v>
      </c>
      <c r="B1410" s="696" t="s">
        <v>6817</v>
      </c>
      <c r="C1410" s="566">
        <f t="shared" si="21"/>
        <v>2104</v>
      </c>
      <c r="D1410" s="700" t="s">
        <v>2235</v>
      </c>
      <c r="E1410" s="701" t="s">
        <v>9286</v>
      </c>
      <c r="F1410" s="566">
        <v>1</v>
      </c>
      <c r="G1410" s="662">
        <v>0</v>
      </c>
      <c r="H1410" s="662">
        <v>10199.318027491814</v>
      </c>
      <c r="I1410" s="662">
        <v>10453.257623694037</v>
      </c>
      <c r="J1410" s="662">
        <v>10720.578042638548</v>
      </c>
      <c r="K1410" s="566" t="s">
        <v>3154</v>
      </c>
      <c r="L1410" s="549"/>
      <c r="M1410" s="540"/>
      <c r="O1410" s="540"/>
      <c r="S1410" s="550"/>
      <c r="T1410" s="547"/>
      <c r="U1410" s="547"/>
      <c r="V1410" s="547"/>
      <c r="W1410" s="549"/>
    </row>
    <row r="1411" spans="1:23">
      <c r="A1411" s="565">
        <v>2105</v>
      </c>
      <c r="B1411" s="696" t="s">
        <v>6818</v>
      </c>
      <c r="C1411" s="566">
        <f t="shared" si="21"/>
        <v>2105</v>
      </c>
      <c r="D1411" s="700" t="s">
        <v>2235</v>
      </c>
      <c r="E1411" s="701" t="s">
        <v>9287</v>
      </c>
      <c r="F1411" s="566">
        <v>1</v>
      </c>
      <c r="G1411" s="662">
        <v>0</v>
      </c>
      <c r="H1411" s="662">
        <v>11571.216611969136</v>
      </c>
      <c r="I1411" s="662">
        <v>11869.176746706295</v>
      </c>
      <c r="J1411" s="662">
        <v>12182.856387806634</v>
      </c>
      <c r="K1411" s="566" t="s">
        <v>3155</v>
      </c>
      <c r="L1411" s="549"/>
      <c r="M1411" s="540"/>
      <c r="O1411" s="540"/>
      <c r="S1411" s="550"/>
      <c r="T1411" s="547"/>
      <c r="U1411" s="547"/>
      <c r="V1411" s="547"/>
      <c r="W1411" s="549"/>
    </row>
    <row r="1412" spans="1:23">
      <c r="A1412" s="565">
        <v>2106</v>
      </c>
      <c r="B1412" s="696" t="s">
        <v>6819</v>
      </c>
      <c r="C1412" s="566">
        <f t="shared" si="21"/>
        <v>2106</v>
      </c>
      <c r="D1412" s="700" t="s">
        <v>2235</v>
      </c>
      <c r="E1412" s="701" t="s">
        <v>9288</v>
      </c>
      <c r="F1412" s="566">
        <v>1</v>
      </c>
      <c r="G1412" s="662">
        <v>0</v>
      </c>
      <c r="H1412" s="662">
        <v>11081.87698948041</v>
      </c>
      <c r="I1412" s="662">
        <v>11364.147221444524</v>
      </c>
      <c r="J1412" s="662">
        <v>11661.278455657823</v>
      </c>
      <c r="K1412" s="566" t="s">
        <v>3156</v>
      </c>
      <c r="L1412" s="549"/>
      <c r="M1412" s="540"/>
      <c r="O1412" s="540"/>
      <c r="S1412" s="550"/>
      <c r="T1412" s="547"/>
      <c r="U1412" s="547"/>
      <c r="V1412" s="547"/>
      <c r="W1412" s="549"/>
    </row>
    <row r="1413" spans="1:23">
      <c r="A1413" s="565">
        <v>2107</v>
      </c>
      <c r="B1413" s="696" t="s">
        <v>6820</v>
      </c>
      <c r="C1413" s="566">
        <f t="shared" si="21"/>
        <v>2107</v>
      </c>
      <c r="D1413" s="700" t="s">
        <v>2235</v>
      </c>
      <c r="E1413" s="701" t="s">
        <v>9289</v>
      </c>
      <c r="F1413" s="566">
        <v>1</v>
      </c>
      <c r="G1413" s="662">
        <v>0</v>
      </c>
      <c r="H1413" s="662">
        <v>0</v>
      </c>
      <c r="I1413" s="662">
        <v>0</v>
      </c>
      <c r="J1413" s="662">
        <v>13511.098686835157</v>
      </c>
      <c r="K1413" s="566" t="s">
        <v>4818</v>
      </c>
      <c r="L1413" s="549"/>
      <c r="M1413" s="540"/>
      <c r="O1413" s="540"/>
      <c r="S1413" s="550"/>
      <c r="T1413" s="547"/>
      <c r="U1413" s="547"/>
      <c r="V1413" s="547"/>
      <c r="W1413" s="549"/>
    </row>
    <row r="1414" spans="1:23">
      <c r="A1414" s="565">
        <v>2108</v>
      </c>
      <c r="B1414" s="695" t="s">
        <v>6821</v>
      </c>
      <c r="C1414" s="566">
        <f t="shared" si="21"/>
        <v>2108</v>
      </c>
      <c r="D1414" s="699" t="s">
        <v>2235</v>
      </c>
      <c r="E1414" s="701" t="s">
        <v>9290</v>
      </c>
      <c r="F1414" s="567">
        <v>1</v>
      </c>
      <c r="G1414" s="662">
        <v>11776.834782360498</v>
      </c>
      <c r="H1414" s="662">
        <v>12111.207332967175</v>
      </c>
      <c r="I1414" s="662">
        <v>12463.16441611572</v>
      </c>
      <c r="J1414" s="662">
        <v>12833.653346690531</v>
      </c>
      <c r="K1414" s="568" t="s">
        <v>2072</v>
      </c>
      <c r="L1414" s="549"/>
      <c r="M1414" s="540"/>
      <c r="O1414" s="540"/>
      <c r="S1414" s="550"/>
      <c r="T1414" s="547"/>
      <c r="U1414" s="547"/>
      <c r="V1414" s="547"/>
      <c r="W1414" s="549"/>
    </row>
    <row r="1415" spans="1:23">
      <c r="A1415" s="565">
        <v>2109</v>
      </c>
      <c r="B1415" s="696" t="s">
        <v>6822</v>
      </c>
      <c r="C1415" s="566">
        <f t="shared" si="21"/>
        <v>2109</v>
      </c>
      <c r="D1415" s="700" t="s">
        <v>2235</v>
      </c>
      <c r="E1415" s="701" t="s">
        <v>9291</v>
      </c>
      <c r="F1415" s="566">
        <v>1</v>
      </c>
      <c r="G1415" s="662">
        <v>11163.097656319473</v>
      </c>
      <c r="H1415" s="662">
        <v>11475.859586125544</v>
      </c>
      <c r="I1415" s="662">
        <v>11805.051508458102</v>
      </c>
      <c r="J1415" s="662">
        <v>12151.591134611423</v>
      </c>
      <c r="K1415" s="566" t="s">
        <v>2073</v>
      </c>
      <c r="L1415" s="549"/>
      <c r="M1415" s="540"/>
      <c r="O1415" s="540"/>
      <c r="S1415" s="550"/>
      <c r="T1415" s="547"/>
      <c r="U1415" s="547"/>
      <c r="V1415" s="547"/>
      <c r="W1415" s="549"/>
    </row>
    <row r="1416" spans="1:23">
      <c r="A1416" s="565">
        <v>2110</v>
      </c>
      <c r="B1416" s="696" t="s">
        <v>6823</v>
      </c>
      <c r="C1416" s="566">
        <f t="shared" si="21"/>
        <v>2110</v>
      </c>
      <c r="D1416" s="700" t="s">
        <v>2235</v>
      </c>
      <c r="E1416" s="701" t="s">
        <v>9292</v>
      </c>
      <c r="F1416" s="566">
        <v>1</v>
      </c>
      <c r="G1416" s="662">
        <v>12431.889510458921</v>
      </c>
      <c r="H1416" s="662">
        <v>12789.352861373094</v>
      </c>
      <c r="I1416" s="662">
        <v>13165.614492024786</v>
      </c>
      <c r="J1416" s="662">
        <v>13561.68092447868</v>
      </c>
      <c r="K1416" s="566" t="s">
        <v>2074</v>
      </c>
      <c r="L1416" s="549"/>
      <c r="M1416" s="540"/>
      <c r="O1416" s="540"/>
      <c r="S1416" s="550"/>
      <c r="T1416" s="547"/>
      <c r="U1416" s="547"/>
      <c r="V1416" s="547"/>
      <c r="W1416" s="549"/>
    </row>
    <row r="1417" spans="1:23">
      <c r="A1417" s="565">
        <v>2111</v>
      </c>
      <c r="B1417" s="696" t="s">
        <v>6824</v>
      </c>
      <c r="C1417" s="566">
        <f t="shared" ref="C1417:C1480" si="22">A1417</f>
        <v>2111</v>
      </c>
      <c r="D1417" s="700" t="s">
        <v>2235</v>
      </c>
      <c r="E1417" s="701" t="s">
        <v>9293</v>
      </c>
      <c r="F1417" s="566">
        <v>1</v>
      </c>
      <c r="G1417" s="662">
        <v>11910.946768403748</v>
      </c>
      <c r="H1417" s="662">
        <v>12250.055893432476</v>
      </c>
      <c r="I1417" s="662">
        <v>12606.986379724172</v>
      </c>
      <c r="J1417" s="662">
        <v>12982.715145753378</v>
      </c>
      <c r="K1417" s="566" t="s">
        <v>2075</v>
      </c>
      <c r="L1417" s="549"/>
      <c r="M1417" s="540"/>
      <c r="O1417" s="540"/>
      <c r="S1417" s="550"/>
      <c r="T1417" s="547"/>
      <c r="U1417" s="547"/>
      <c r="V1417" s="547"/>
      <c r="W1417" s="549"/>
    </row>
    <row r="1418" spans="1:23">
      <c r="A1418" s="565">
        <v>2112</v>
      </c>
      <c r="B1418" s="696" t="s">
        <v>6825</v>
      </c>
      <c r="C1418" s="566">
        <f t="shared" si="22"/>
        <v>2112</v>
      </c>
      <c r="D1418" s="700" t="s">
        <v>2235</v>
      </c>
      <c r="E1418" s="701" t="s">
        <v>9294</v>
      </c>
      <c r="F1418" s="566">
        <v>1</v>
      </c>
      <c r="G1418" s="662">
        <v>14304.0816892275</v>
      </c>
      <c r="H1418" s="662">
        <v>14727.501838968741</v>
      </c>
      <c r="I1418" s="662">
        <v>15173.183888493617</v>
      </c>
      <c r="J1418" s="662">
        <v>15642.341584997797</v>
      </c>
      <c r="K1418" s="566" t="s">
        <v>2076</v>
      </c>
      <c r="L1418" s="549"/>
      <c r="M1418" s="540"/>
      <c r="O1418" s="540"/>
      <c r="S1418" s="550"/>
      <c r="T1418" s="547"/>
      <c r="U1418" s="547"/>
      <c r="V1418" s="547"/>
      <c r="W1418" s="549"/>
    </row>
    <row r="1419" spans="1:23">
      <c r="A1419" s="565">
        <v>2113</v>
      </c>
      <c r="B1419" s="696" t="s">
        <v>6826</v>
      </c>
      <c r="C1419" s="566">
        <f t="shared" si="22"/>
        <v>2113</v>
      </c>
      <c r="D1419" s="700" t="s">
        <v>2235</v>
      </c>
      <c r="E1419" s="701" t="s">
        <v>9295</v>
      </c>
      <c r="F1419" s="566">
        <v>1</v>
      </c>
      <c r="G1419" s="662">
        <v>14304.0816892275</v>
      </c>
      <c r="H1419" s="662">
        <v>14727.501838968741</v>
      </c>
      <c r="I1419" s="662">
        <v>15173.183888493617</v>
      </c>
      <c r="J1419" s="662">
        <v>15642.341584997797</v>
      </c>
      <c r="K1419" s="566" t="s">
        <v>2077</v>
      </c>
      <c r="L1419" s="549"/>
      <c r="M1419" s="540"/>
      <c r="O1419" s="540"/>
      <c r="S1419" s="550"/>
      <c r="T1419" s="547"/>
      <c r="U1419" s="547"/>
      <c r="V1419" s="547"/>
      <c r="W1419" s="549"/>
    </row>
    <row r="1420" spans="1:23">
      <c r="A1420" s="565">
        <v>2114</v>
      </c>
      <c r="B1420" s="696" t="s">
        <v>6827</v>
      </c>
      <c r="C1420" s="566">
        <f t="shared" si="22"/>
        <v>2114</v>
      </c>
      <c r="D1420" s="700" t="s">
        <v>2235</v>
      </c>
      <c r="E1420" s="701" t="s">
        <v>9296</v>
      </c>
      <c r="F1420" s="566">
        <v>1</v>
      </c>
      <c r="G1420" s="662">
        <v>13741.880552295204</v>
      </c>
      <c r="H1420" s="662">
        <v>14145.495900234248</v>
      </c>
      <c r="I1420" s="662">
        <v>14570.337022302097</v>
      </c>
      <c r="J1420" s="662">
        <v>15017.558458514146</v>
      </c>
      <c r="K1420" s="566" t="s">
        <v>2078</v>
      </c>
      <c r="L1420" s="549"/>
      <c r="M1420" s="540"/>
      <c r="O1420" s="540"/>
      <c r="S1420" s="550"/>
      <c r="T1420" s="547"/>
      <c r="U1420" s="547"/>
      <c r="V1420" s="547"/>
      <c r="W1420" s="549"/>
    </row>
    <row r="1421" spans="1:23">
      <c r="A1421" s="565">
        <v>2115</v>
      </c>
      <c r="B1421" s="696" t="s">
        <v>6828</v>
      </c>
      <c r="C1421" s="566">
        <f t="shared" si="22"/>
        <v>2115</v>
      </c>
      <c r="D1421" s="700" t="s">
        <v>2235</v>
      </c>
      <c r="E1421" s="701" t="s">
        <v>9297</v>
      </c>
      <c r="F1421" s="566">
        <v>1</v>
      </c>
      <c r="G1421" s="662">
        <v>13741.880552295204</v>
      </c>
      <c r="H1421" s="662">
        <v>14145.495900234248</v>
      </c>
      <c r="I1421" s="662">
        <v>14570.36662589224</v>
      </c>
      <c r="J1421" s="662">
        <v>15017.588062104282</v>
      </c>
      <c r="K1421" s="566" t="s">
        <v>2079</v>
      </c>
      <c r="L1421" s="549"/>
      <c r="M1421" s="540"/>
      <c r="O1421" s="540"/>
      <c r="S1421" s="550"/>
      <c r="T1421" s="547"/>
      <c r="U1421" s="547"/>
      <c r="V1421" s="547"/>
      <c r="W1421" s="549"/>
    </row>
    <row r="1422" spans="1:23">
      <c r="A1422" s="565">
        <v>2116</v>
      </c>
      <c r="B1422" s="696" t="s">
        <v>6829</v>
      </c>
      <c r="C1422" s="566">
        <f t="shared" si="22"/>
        <v>2116</v>
      </c>
      <c r="D1422" s="700" t="s">
        <v>2235</v>
      </c>
      <c r="E1422" s="701" t="s">
        <v>9298</v>
      </c>
      <c r="F1422" s="566">
        <v>1</v>
      </c>
      <c r="G1422" s="662">
        <v>0</v>
      </c>
      <c r="H1422" s="662">
        <v>0</v>
      </c>
      <c r="I1422" s="662">
        <v>16263.634063334242</v>
      </c>
      <c r="J1422" s="662">
        <v>16712.217264692626</v>
      </c>
      <c r="K1422" s="566" t="s">
        <v>4819</v>
      </c>
      <c r="L1422" s="549"/>
      <c r="M1422" s="540"/>
      <c r="O1422" s="540"/>
      <c r="S1422" s="550"/>
      <c r="T1422" s="547"/>
      <c r="U1422" s="547"/>
      <c r="V1422" s="547"/>
      <c r="W1422" s="549"/>
    </row>
    <row r="1423" spans="1:23">
      <c r="A1423" s="565">
        <v>2117</v>
      </c>
      <c r="B1423" s="696" t="s">
        <v>6830</v>
      </c>
      <c r="C1423" s="566">
        <f t="shared" si="22"/>
        <v>2117</v>
      </c>
      <c r="D1423" s="700" t="s">
        <v>2235</v>
      </c>
      <c r="E1423" s="701" t="s">
        <v>9299</v>
      </c>
      <c r="F1423" s="566">
        <v>1</v>
      </c>
      <c r="G1423" s="662">
        <v>15389.813308890092</v>
      </c>
      <c r="H1423" s="662">
        <v>15833.719143006703</v>
      </c>
      <c r="I1423" s="662">
        <v>16277.624977123314</v>
      </c>
      <c r="J1423" s="662">
        <v>16744.888043858668</v>
      </c>
      <c r="K1423" s="566" t="s">
        <v>2080</v>
      </c>
      <c r="L1423" s="549"/>
      <c r="M1423" s="540"/>
      <c r="O1423" s="540"/>
      <c r="S1423" s="550"/>
      <c r="T1423" s="547"/>
      <c r="U1423" s="547"/>
      <c r="V1423" s="547"/>
      <c r="W1423" s="549"/>
    </row>
    <row r="1424" spans="1:23">
      <c r="A1424" s="565">
        <v>2118</v>
      </c>
      <c r="B1424" s="696" t="s">
        <v>6831</v>
      </c>
      <c r="C1424" s="566">
        <f t="shared" si="22"/>
        <v>2118</v>
      </c>
      <c r="D1424" s="700" t="s">
        <v>2235</v>
      </c>
      <c r="E1424" s="701" t="s">
        <v>9300</v>
      </c>
      <c r="F1424" s="566">
        <v>1</v>
      </c>
      <c r="G1424" s="662">
        <v>0</v>
      </c>
      <c r="H1424" s="662">
        <v>0</v>
      </c>
      <c r="I1424" s="662">
        <v>0</v>
      </c>
      <c r="J1424" s="662">
        <v>15240.826870257362</v>
      </c>
      <c r="K1424" s="566" t="s">
        <v>4820</v>
      </c>
      <c r="L1424" s="549"/>
      <c r="M1424" s="540"/>
      <c r="O1424" s="540"/>
      <c r="S1424" s="550"/>
      <c r="T1424" s="547"/>
      <c r="U1424" s="547"/>
      <c r="V1424" s="547"/>
      <c r="W1424" s="549"/>
    </row>
    <row r="1425" spans="1:23">
      <c r="A1425" s="565">
        <v>2119</v>
      </c>
      <c r="B1425" s="696" t="s">
        <v>6831</v>
      </c>
      <c r="C1425" s="566">
        <f t="shared" si="22"/>
        <v>2119</v>
      </c>
      <c r="D1425" s="700" t="s">
        <v>2235</v>
      </c>
      <c r="E1425" s="701" t="s">
        <v>9300</v>
      </c>
      <c r="F1425" s="566">
        <v>1</v>
      </c>
      <c r="G1425" s="662">
        <v>0</v>
      </c>
      <c r="H1425" s="662">
        <v>0</v>
      </c>
      <c r="I1425" s="662">
        <v>18491.876987166834</v>
      </c>
      <c r="J1425" s="662">
        <v>0</v>
      </c>
      <c r="K1425" s="566" t="s">
        <v>4821</v>
      </c>
      <c r="L1425" s="549"/>
      <c r="M1425" s="540"/>
      <c r="O1425" s="540"/>
      <c r="S1425" s="550"/>
      <c r="T1425" s="547"/>
      <c r="U1425" s="547"/>
      <c r="V1425" s="547"/>
      <c r="W1425" s="549"/>
    </row>
    <row r="1426" spans="1:23">
      <c r="A1426" s="565">
        <v>2120</v>
      </c>
      <c r="B1426" s="696" t="s">
        <v>6832</v>
      </c>
      <c r="C1426" s="566">
        <f t="shared" si="22"/>
        <v>2120</v>
      </c>
      <c r="D1426" s="700" t="s">
        <v>2235</v>
      </c>
      <c r="E1426" s="701" t="s">
        <v>9301</v>
      </c>
      <c r="F1426" s="566">
        <v>1</v>
      </c>
      <c r="G1426" s="662">
        <v>15815.30963546965</v>
      </c>
      <c r="H1426" s="662">
        <v>16267.119628153067</v>
      </c>
      <c r="I1426" s="662">
        <v>16742.701303717145</v>
      </c>
      <c r="J1426" s="662">
        <v>17243.327616537812</v>
      </c>
      <c r="K1426" s="566" t="s">
        <v>2086</v>
      </c>
      <c r="L1426" s="549"/>
      <c r="M1426" s="540"/>
      <c r="O1426" s="540"/>
      <c r="S1426" s="550"/>
      <c r="T1426" s="547"/>
      <c r="U1426" s="547"/>
      <c r="V1426" s="547"/>
      <c r="W1426" s="549"/>
    </row>
    <row r="1427" spans="1:23">
      <c r="A1427" s="565">
        <v>2121</v>
      </c>
      <c r="B1427" s="696" t="s">
        <v>6833</v>
      </c>
      <c r="C1427" s="566">
        <f t="shared" si="22"/>
        <v>2121</v>
      </c>
      <c r="D1427" s="700" t="s">
        <v>2235</v>
      </c>
      <c r="E1427" s="701" t="s">
        <v>9302</v>
      </c>
      <c r="F1427" s="566">
        <v>1</v>
      </c>
      <c r="G1427" s="662">
        <v>14783.876836664356</v>
      </c>
      <c r="H1427" s="662">
        <v>15246.772175344267</v>
      </c>
      <c r="I1427" s="662">
        <v>15734.037340993144</v>
      </c>
      <c r="J1427" s="662">
        <v>16246.953227481317</v>
      </c>
      <c r="K1427" s="566" t="s">
        <v>2081</v>
      </c>
      <c r="L1427" s="549"/>
      <c r="M1427" s="540"/>
      <c r="O1427" s="540"/>
      <c r="S1427" s="550"/>
      <c r="T1427" s="547"/>
      <c r="U1427" s="547"/>
      <c r="V1427" s="547"/>
      <c r="W1427" s="549"/>
    </row>
    <row r="1428" spans="1:23">
      <c r="A1428" s="565">
        <v>2122</v>
      </c>
      <c r="B1428" s="696" t="s">
        <v>6834</v>
      </c>
      <c r="C1428" s="566">
        <f t="shared" si="22"/>
        <v>2122</v>
      </c>
      <c r="D1428" s="700" t="s">
        <v>2235</v>
      </c>
      <c r="E1428" s="701" t="s">
        <v>9303</v>
      </c>
      <c r="F1428" s="566">
        <v>1</v>
      </c>
      <c r="G1428" s="662">
        <v>14651.77908903475</v>
      </c>
      <c r="H1428" s="662">
        <v>15071.707992870834</v>
      </c>
      <c r="I1428" s="662">
        <v>15513.724847645486</v>
      </c>
      <c r="J1428" s="662">
        <v>15979.004239595397</v>
      </c>
      <c r="K1428" s="566" t="s">
        <v>2082</v>
      </c>
      <c r="L1428" s="549"/>
      <c r="M1428" s="540"/>
      <c r="O1428" s="540"/>
      <c r="S1428" s="550"/>
      <c r="T1428" s="547"/>
      <c r="U1428" s="547"/>
      <c r="V1428" s="547"/>
      <c r="W1428" s="549"/>
    </row>
    <row r="1429" spans="1:23">
      <c r="A1429" s="565">
        <v>2123</v>
      </c>
      <c r="B1429" s="696" t="s">
        <v>6835</v>
      </c>
      <c r="C1429" s="566">
        <f t="shared" si="22"/>
        <v>2123</v>
      </c>
      <c r="D1429" s="700" t="s">
        <v>2235</v>
      </c>
      <c r="E1429" s="701" t="s">
        <v>9304</v>
      </c>
      <c r="F1429" s="566">
        <v>1</v>
      </c>
      <c r="G1429" s="662">
        <v>13978.074818679306</v>
      </c>
      <c r="H1429" s="662">
        <v>14396.284815827563</v>
      </c>
      <c r="I1429" s="662">
        <v>14836.496818579993</v>
      </c>
      <c r="J1429" s="662">
        <v>15299.8567647285</v>
      </c>
      <c r="K1429" s="566" t="s">
        <v>2083</v>
      </c>
      <c r="L1429" s="549"/>
      <c r="M1429" s="540"/>
      <c r="O1429" s="540"/>
      <c r="S1429" s="550"/>
      <c r="T1429" s="547"/>
      <c r="U1429" s="547"/>
      <c r="V1429" s="547"/>
      <c r="W1429" s="549"/>
    </row>
    <row r="1430" spans="1:23">
      <c r="A1430" s="565">
        <v>2124</v>
      </c>
      <c r="B1430" s="696" t="s">
        <v>6836</v>
      </c>
      <c r="C1430" s="566">
        <f t="shared" si="22"/>
        <v>2124</v>
      </c>
      <c r="D1430" s="700" t="s">
        <v>2235</v>
      </c>
      <c r="E1430" s="701" t="s">
        <v>9305</v>
      </c>
      <c r="F1430" s="566">
        <v>1</v>
      </c>
      <c r="G1430" s="662">
        <v>13442.165796104315</v>
      </c>
      <c r="H1430" s="662">
        <v>13841.209983683299</v>
      </c>
      <c r="I1430" s="662">
        <v>14261.224832853772</v>
      </c>
      <c r="J1430" s="662">
        <v>14703.356281407614</v>
      </c>
      <c r="K1430" s="566" t="s">
        <v>2084</v>
      </c>
      <c r="L1430" s="549"/>
      <c r="M1430" s="540"/>
      <c r="O1430" s="540"/>
      <c r="S1430" s="550"/>
      <c r="T1430" s="547"/>
      <c r="U1430" s="547"/>
      <c r="V1430" s="547"/>
      <c r="W1430" s="549"/>
    </row>
    <row r="1431" spans="1:23">
      <c r="A1431" s="565">
        <v>2125</v>
      </c>
      <c r="B1431" s="696" t="s">
        <v>6837</v>
      </c>
      <c r="C1431" s="566">
        <f t="shared" si="22"/>
        <v>2125</v>
      </c>
      <c r="D1431" s="700" t="s">
        <v>2235</v>
      </c>
      <c r="E1431" s="701" t="s">
        <v>9306</v>
      </c>
      <c r="F1431" s="566">
        <v>1</v>
      </c>
      <c r="G1431" s="662">
        <v>16436.588070435104</v>
      </c>
      <c r="H1431" s="662">
        <v>16917.137083461876</v>
      </c>
      <c r="I1431" s="662">
        <v>17422.954024799696</v>
      </c>
      <c r="J1431" s="662">
        <v>17955.385371354041</v>
      </c>
      <c r="K1431" s="566" t="s">
        <v>2085</v>
      </c>
      <c r="L1431" s="549"/>
      <c r="M1431" s="540"/>
      <c r="O1431" s="540"/>
      <c r="S1431" s="550"/>
      <c r="T1431" s="547"/>
      <c r="U1431" s="547"/>
      <c r="V1431" s="547"/>
      <c r="W1431" s="549"/>
    </row>
    <row r="1432" spans="1:23">
      <c r="A1432" s="565">
        <v>2126</v>
      </c>
      <c r="B1432" s="696" t="s">
        <v>6838</v>
      </c>
      <c r="C1432" s="566">
        <f t="shared" si="22"/>
        <v>2126</v>
      </c>
      <c r="D1432" s="700" t="s">
        <v>2235</v>
      </c>
      <c r="E1432" s="701" t="s">
        <v>9307</v>
      </c>
      <c r="F1432" s="566">
        <v>1</v>
      </c>
      <c r="G1432" s="662">
        <v>18500.692346818156</v>
      </c>
      <c r="H1432" s="662">
        <v>19085.755251840939</v>
      </c>
      <c r="I1432" s="662">
        <v>19701.614055338152</v>
      </c>
      <c r="J1432" s="662">
        <v>20349.895822070681</v>
      </c>
      <c r="K1432" s="566" t="s">
        <v>2087</v>
      </c>
      <c r="L1432" s="549"/>
      <c r="M1432" s="540"/>
      <c r="O1432" s="540"/>
      <c r="S1432" s="550"/>
      <c r="T1432" s="547"/>
      <c r="U1432" s="547"/>
      <c r="V1432" s="547"/>
      <c r="W1432" s="549"/>
    </row>
    <row r="1433" spans="1:23">
      <c r="A1433" s="565">
        <v>2127</v>
      </c>
      <c r="B1433" s="695" t="s">
        <v>6839</v>
      </c>
      <c r="C1433" s="566">
        <f t="shared" si="22"/>
        <v>2127</v>
      </c>
      <c r="D1433" s="699" t="s">
        <v>2235</v>
      </c>
      <c r="E1433" s="701" t="s">
        <v>9308</v>
      </c>
      <c r="F1433" s="567">
        <v>1</v>
      </c>
      <c r="G1433" s="662">
        <v>0</v>
      </c>
      <c r="H1433" s="662">
        <v>0</v>
      </c>
      <c r="I1433" s="662">
        <v>18781.175621896393</v>
      </c>
      <c r="J1433" s="662">
        <v>19335.383462453447</v>
      </c>
      <c r="K1433" s="568" t="s">
        <v>4077</v>
      </c>
      <c r="L1433" s="549"/>
      <c r="M1433" s="540"/>
      <c r="O1433" s="540"/>
      <c r="S1433" s="550"/>
      <c r="T1433" s="547"/>
      <c r="U1433" s="547"/>
      <c r="V1433" s="547"/>
      <c r="W1433" s="549"/>
    </row>
    <row r="1434" spans="1:23">
      <c r="A1434" s="565">
        <v>2128</v>
      </c>
      <c r="B1434" s="696" t="s">
        <v>6840</v>
      </c>
      <c r="C1434" s="566">
        <f t="shared" si="22"/>
        <v>2128</v>
      </c>
      <c r="D1434" s="700" t="s">
        <v>2235</v>
      </c>
      <c r="E1434" s="701" t="s">
        <v>9309</v>
      </c>
      <c r="F1434" s="566">
        <v>1</v>
      </c>
      <c r="G1434" s="662">
        <v>17133.485705953135</v>
      </c>
      <c r="H1434" s="662">
        <v>0</v>
      </c>
      <c r="I1434" s="662">
        <v>0</v>
      </c>
      <c r="J1434" s="662">
        <v>0</v>
      </c>
      <c r="K1434" s="566" t="s">
        <v>5288</v>
      </c>
      <c r="L1434" s="549"/>
      <c r="M1434" s="540"/>
      <c r="O1434" s="540"/>
      <c r="S1434" s="550"/>
      <c r="T1434" s="547"/>
      <c r="U1434" s="547"/>
      <c r="V1434" s="547"/>
      <c r="W1434" s="549"/>
    </row>
    <row r="1435" spans="1:23">
      <c r="A1435" s="565">
        <v>2129</v>
      </c>
      <c r="B1435" s="696" t="s">
        <v>6841</v>
      </c>
      <c r="C1435" s="566">
        <f t="shared" si="22"/>
        <v>2129</v>
      </c>
      <c r="D1435" s="700" t="s">
        <v>2236</v>
      </c>
      <c r="E1435" s="701" t="s">
        <v>9310</v>
      </c>
      <c r="F1435" s="566">
        <v>1</v>
      </c>
      <c r="G1435" s="662">
        <v>0</v>
      </c>
      <c r="H1435" s="662">
        <v>0</v>
      </c>
      <c r="I1435" s="662">
        <v>23089.424685644732</v>
      </c>
      <c r="J1435" s="662">
        <v>23905.286455534057</v>
      </c>
      <c r="K1435" s="566" t="s">
        <v>4078</v>
      </c>
      <c r="L1435" s="549"/>
      <c r="M1435" s="540"/>
      <c r="O1435" s="540"/>
      <c r="S1435" s="550"/>
      <c r="T1435" s="547"/>
      <c r="U1435" s="547"/>
      <c r="V1435" s="547"/>
      <c r="W1435" s="549"/>
    </row>
    <row r="1436" spans="1:23">
      <c r="A1436" s="565">
        <v>2130</v>
      </c>
      <c r="B1436" s="696" t="s">
        <v>6842</v>
      </c>
      <c r="C1436" s="566">
        <f t="shared" si="22"/>
        <v>2130</v>
      </c>
      <c r="D1436" s="700" t="s">
        <v>2236</v>
      </c>
      <c r="E1436" s="701" t="s">
        <v>9311</v>
      </c>
      <c r="F1436" s="566">
        <v>1</v>
      </c>
      <c r="G1436" s="662">
        <v>0</v>
      </c>
      <c r="H1436" s="662">
        <v>0</v>
      </c>
      <c r="I1436" s="662">
        <v>21709.063547968632</v>
      </c>
      <c r="J1436" s="662">
        <v>22470.785689151486</v>
      </c>
      <c r="K1436" s="566" t="s">
        <v>4079</v>
      </c>
      <c r="L1436" s="549"/>
      <c r="M1436" s="540"/>
      <c r="O1436" s="540"/>
      <c r="S1436" s="550"/>
      <c r="T1436" s="547"/>
      <c r="U1436" s="547"/>
      <c r="V1436" s="547"/>
      <c r="W1436" s="549"/>
    </row>
    <row r="1437" spans="1:23">
      <c r="A1437" s="565">
        <v>2131</v>
      </c>
      <c r="B1437" s="696" t="s">
        <v>6843</v>
      </c>
      <c r="C1437" s="566">
        <f t="shared" si="22"/>
        <v>2131</v>
      </c>
      <c r="D1437" s="700" t="s">
        <v>2236</v>
      </c>
      <c r="E1437" s="701" t="s">
        <v>9312</v>
      </c>
      <c r="F1437" s="566">
        <v>1</v>
      </c>
      <c r="G1437" s="662">
        <v>0</v>
      </c>
      <c r="H1437" s="662">
        <v>0</v>
      </c>
      <c r="I1437" s="662">
        <v>24265.287876998456</v>
      </c>
      <c r="J1437" s="662">
        <v>25127.288970804933</v>
      </c>
      <c r="K1437" s="566" t="s">
        <v>4081</v>
      </c>
      <c r="L1437" s="549"/>
      <c r="M1437" s="540"/>
      <c r="O1437" s="540"/>
      <c r="S1437" s="550"/>
      <c r="T1437" s="547"/>
      <c r="U1437" s="547"/>
      <c r="V1437" s="547"/>
      <c r="W1437" s="549"/>
    </row>
    <row r="1438" spans="1:23">
      <c r="A1438" s="565">
        <v>2132</v>
      </c>
      <c r="B1438" s="696" t="s">
        <v>6844</v>
      </c>
      <c r="C1438" s="566">
        <f t="shared" si="22"/>
        <v>2132</v>
      </c>
      <c r="D1438" s="700" t="s">
        <v>2236</v>
      </c>
      <c r="E1438" s="701" t="s">
        <v>9313</v>
      </c>
      <c r="F1438" s="566">
        <v>1</v>
      </c>
      <c r="G1438" s="662">
        <v>0</v>
      </c>
      <c r="H1438" s="662">
        <v>0</v>
      </c>
      <c r="I1438" s="662">
        <v>25645.64901467456</v>
      </c>
      <c r="J1438" s="662">
        <v>26561.789737187508</v>
      </c>
      <c r="K1438" s="566" t="s">
        <v>4080</v>
      </c>
      <c r="L1438" s="549"/>
      <c r="M1438" s="540"/>
      <c r="O1438" s="540"/>
      <c r="S1438" s="550"/>
      <c r="T1438" s="547"/>
      <c r="U1438" s="547"/>
      <c r="V1438" s="547"/>
      <c r="W1438" s="549"/>
    </row>
    <row r="1439" spans="1:23">
      <c r="A1439" s="565">
        <v>2133</v>
      </c>
      <c r="B1439" s="696" t="s">
        <v>6845</v>
      </c>
      <c r="C1439" s="566">
        <f t="shared" si="22"/>
        <v>2133</v>
      </c>
      <c r="D1439" s="700" t="s">
        <v>2236</v>
      </c>
      <c r="E1439" s="701" t="s">
        <v>9314</v>
      </c>
      <c r="F1439" s="566">
        <v>1</v>
      </c>
      <c r="G1439" s="662">
        <v>0</v>
      </c>
      <c r="H1439" s="662">
        <v>0</v>
      </c>
      <c r="I1439" s="662">
        <v>25645.64901467456</v>
      </c>
      <c r="J1439" s="662">
        <v>26561.789737187508</v>
      </c>
      <c r="K1439" s="566" t="s">
        <v>4082</v>
      </c>
      <c r="L1439" s="549"/>
      <c r="M1439" s="540"/>
      <c r="O1439" s="540"/>
      <c r="S1439" s="550"/>
      <c r="T1439" s="547"/>
      <c r="U1439" s="547"/>
      <c r="V1439" s="547"/>
      <c r="W1439" s="549"/>
    </row>
    <row r="1440" spans="1:23">
      <c r="A1440" s="565">
        <v>2134</v>
      </c>
      <c r="B1440" s="696" t="s">
        <v>6846</v>
      </c>
      <c r="C1440" s="566">
        <f t="shared" si="22"/>
        <v>2134</v>
      </c>
      <c r="D1440" s="700" t="s">
        <v>2236</v>
      </c>
      <c r="E1440" s="701" t="s">
        <v>9315</v>
      </c>
      <c r="F1440" s="566">
        <v>1</v>
      </c>
      <c r="G1440" s="662">
        <v>0</v>
      </c>
      <c r="H1440" s="662">
        <v>0</v>
      </c>
      <c r="I1440" s="662">
        <v>0</v>
      </c>
      <c r="J1440" s="662">
        <v>29991.230374025257</v>
      </c>
      <c r="K1440" s="566" t="s">
        <v>4822</v>
      </c>
      <c r="L1440" s="549"/>
      <c r="M1440" s="540"/>
      <c r="O1440" s="540"/>
      <c r="S1440" s="550"/>
      <c r="T1440" s="547"/>
      <c r="U1440" s="547"/>
      <c r="V1440" s="547"/>
      <c r="W1440" s="549"/>
    </row>
    <row r="1441" spans="1:23">
      <c r="A1441" s="565">
        <v>2135</v>
      </c>
      <c r="B1441" s="695" t="s">
        <v>6847</v>
      </c>
      <c r="C1441" s="566">
        <f t="shared" si="22"/>
        <v>2135</v>
      </c>
      <c r="D1441" s="699" t="s">
        <v>2236</v>
      </c>
      <c r="E1441" s="701" t="s">
        <v>9316</v>
      </c>
      <c r="F1441" s="567">
        <v>1</v>
      </c>
      <c r="G1441" s="662">
        <v>0</v>
      </c>
      <c r="H1441" s="662">
        <v>0</v>
      </c>
      <c r="I1441" s="662">
        <v>31167.093565378971</v>
      </c>
      <c r="J1441" s="662">
        <v>32299.750473062817</v>
      </c>
      <c r="K1441" s="568" t="s">
        <v>4083</v>
      </c>
      <c r="L1441" s="549"/>
      <c r="M1441" s="540"/>
      <c r="O1441" s="540"/>
      <c r="S1441" s="550"/>
      <c r="T1441" s="547"/>
      <c r="U1441" s="547"/>
      <c r="V1441" s="547"/>
      <c r="W1441" s="549"/>
    </row>
    <row r="1442" spans="1:23">
      <c r="A1442" s="565">
        <v>2136</v>
      </c>
      <c r="B1442" s="696" t="s">
        <v>6848</v>
      </c>
      <c r="C1442" s="566">
        <f t="shared" si="22"/>
        <v>2136</v>
      </c>
      <c r="D1442" s="700" t="s">
        <v>2236</v>
      </c>
      <c r="E1442" s="701" t="s">
        <v>9317</v>
      </c>
      <c r="F1442" s="566">
        <v>1</v>
      </c>
      <c r="G1442" s="662">
        <v>0</v>
      </c>
      <c r="H1442" s="662">
        <v>0</v>
      </c>
      <c r="I1442" s="662">
        <v>32547.454703055078</v>
      </c>
      <c r="J1442" s="662">
        <v>33734.251239445388</v>
      </c>
      <c r="K1442" s="566" t="s">
        <v>4084</v>
      </c>
      <c r="L1442" s="549"/>
      <c r="M1442" s="540"/>
      <c r="O1442" s="540"/>
      <c r="S1442" s="550"/>
      <c r="T1442" s="547"/>
      <c r="U1442" s="547"/>
      <c r="V1442" s="547"/>
      <c r="W1442" s="549"/>
    </row>
    <row r="1443" spans="1:23">
      <c r="A1443" s="565">
        <v>2137</v>
      </c>
      <c r="B1443" s="695" t="s">
        <v>6849</v>
      </c>
      <c r="C1443" s="566">
        <f t="shared" si="22"/>
        <v>2137</v>
      </c>
      <c r="D1443" s="699" t="s">
        <v>2236</v>
      </c>
      <c r="E1443" s="701" t="s">
        <v>9318</v>
      </c>
      <c r="F1443" s="567">
        <v>1</v>
      </c>
      <c r="G1443" s="662">
        <v>0</v>
      </c>
      <c r="H1443" s="662">
        <v>0</v>
      </c>
      <c r="I1443" s="662">
        <v>0</v>
      </c>
      <c r="J1443" s="662">
        <v>45737.572240848982</v>
      </c>
      <c r="K1443" s="568" t="s">
        <v>4823</v>
      </c>
      <c r="L1443" s="549"/>
      <c r="M1443" s="540"/>
      <c r="O1443" s="540"/>
      <c r="S1443" s="550"/>
      <c r="T1443" s="547"/>
      <c r="U1443" s="547"/>
      <c r="V1443" s="547"/>
      <c r="W1443" s="549"/>
    </row>
    <row r="1444" spans="1:23">
      <c r="A1444" s="565">
        <v>2138</v>
      </c>
      <c r="B1444" s="696" t="s">
        <v>6850</v>
      </c>
      <c r="C1444" s="566">
        <f t="shared" si="22"/>
        <v>2138</v>
      </c>
      <c r="D1444" s="700" t="s">
        <v>2236</v>
      </c>
      <c r="E1444" s="701" t="s">
        <v>9319</v>
      </c>
      <c r="F1444" s="566">
        <v>1</v>
      </c>
      <c r="G1444" s="662">
        <v>0</v>
      </c>
      <c r="H1444" s="662">
        <v>0</v>
      </c>
      <c r="I1444" s="662">
        <v>24265.287876998456</v>
      </c>
      <c r="J1444" s="662">
        <v>25127.288970804933</v>
      </c>
      <c r="K1444" s="566" t="s">
        <v>4085</v>
      </c>
      <c r="L1444" s="549"/>
      <c r="M1444" s="540"/>
      <c r="O1444" s="540"/>
      <c r="S1444" s="550"/>
      <c r="T1444" s="547"/>
      <c r="U1444" s="547"/>
      <c r="V1444" s="547"/>
      <c r="W1444" s="549"/>
    </row>
    <row r="1445" spans="1:23">
      <c r="A1445" s="565">
        <v>2139</v>
      </c>
      <c r="B1445" s="696" t="s">
        <v>6851</v>
      </c>
      <c r="C1445" s="566">
        <f t="shared" si="22"/>
        <v>2139</v>
      </c>
      <c r="D1445" s="700" t="s">
        <v>2236</v>
      </c>
      <c r="E1445" s="701" t="s">
        <v>9320</v>
      </c>
      <c r="F1445" s="566">
        <v>1</v>
      </c>
      <c r="G1445" s="662">
        <v>0</v>
      </c>
      <c r="H1445" s="662">
        <v>0</v>
      </c>
      <c r="I1445" s="662">
        <v>25645.64901467456</v>
      </c>
      <c r="J1445" s="662">
        <v>26561.789737187508</v>
      </c>
      <c r="K1445" s="566" t="s">
        <v>4086</v>
      </c>
      <c r="L1445" s="549"/>
      <c r="M1445" s="540"/>
      <c r="O1445" s="540"/>
      <c r="S1445" s="550"/>
      <c r="T1445" s="547"/>
      <c r="U1445" s="547"/>
      <c r="V1445" s="547"/>
      <c r="W1445" s="549"/>
    </row>
    <row r="1446" spans="1:23">
      <c r="A1446" s="565">
        <v>2140</v>
      </c>
      <c r="B1446" s="696" t="s">
        <v>6852</v>
      </c>
      <c r="C1446" s="566">
        <f t="shared" si="22"/>
        <v>2140</v>
      </c>
      <c r="D1446" s="700" t="s">
        <v>2236</v>
      </c>
      <c r="E1446" s="701" t="s">
        <v>9321</v>
      </c>
      <c r="F1446" s="566">
        <v>1</v>
      </c>
      <c r="G1446" s="662">
        <v>0</v>
      </c>
      <c r="H1446" s="662">
        <v>0</v>
      </c>
      <c r="I1446" s="662">
        <v>25390.026581771577</v>
      </c>
      <c r="J1446" s="662">
        <v>26296.135176056669</v>
      </c>
      <c r="K1446" s="566" t="s">
        <v>4087</v>
      </c>
      <c r="L1446" s="549"/>
      <c r="M1446" s="540"/>
      <c r="O1446" s="540"/>
      <c r="S1446" s="550"/>
      <c r="T1446" s="547"/>
      <c r="U1446" s="547"/>
      <c r="V1446" s="547"/>
      <c r="W1446" s="549"/>
    </row>
    <row r="1447" spans="1:23">
      <c r="A1447" s="565">
        <v>2141</v>
      </c>
      <c r="B1447" s="696" t="s">
        <v>6853</v>
      </c>
      <c r="C1447" s="566">
        <f t="shared" si="22"/>
        <v>2141</v>
      </c>
      <c r="D1447" s="700" t="s">
        <v>2236</v>
      </c>
      <c r="E1447" s="701" t="s">
        <v>9322</v>
      </c>
      <c r="F1447" s="566">
        <v>1</v>
      </c>
      <c r="G1447" s="662">
        <v>0</v>
      </c>
      <c r="H1447" s="662">
        <v>23205.247945399526</v>
      </c>
      <c r="I1447" s="662">
        <v>24036.814017282668</v>
      </c>
      <c r="J1447" s="662">
        <v>24912.148952404659</v>
      </c>
      <c r="K1447" s="566" t="s">
        <v>3157</v>
      </c>
      <c r="L1447" s="549"/>
      <c r="M1447" s="540"/>
      <c r="O1447" s="540"/>
      <c r="S1447" s="550"/>
      <c r="T1447" s="547"/>
      <c r="U1447" s="547"/>
      <c r="V1447" s="547"/>
      <c r="W1447" s="549"/>
    </row>
    <row r="1448" spans="1:23">
      <c r="A1448" s="565">
        <v>2142</v>
      </c>
      <c r="B1448" s="696" t="s">
        <v>6854</v>
      </c>
      <c r="C1448" s="566">
        <f t="shared" si="22"/>
        <v>2142</v>
      </c>
      <c r="D1448" s="700" t="s">
        <v>2236</v>
      </c>
      <c r="E1448" s="701" t="s">
        <v>9323</v>
      </c>
      <c r="F1448" s="566">
        <v>1</v>
      </c>
      <c r="G1448" s="662">
        <v>20524.383682959986</v>
      </c>
      <c r="H1448" s="662">
        <v>0</v>
      </c>
      <c r="I1448" s="662">
        <v>0</v>
      </c>
      <c r="J1448" s="662">
        <v>0</v>
      </c>
      <c r="K1448" s="566" t="s">
        <v>5289</v>
      </c>
      <c r="L1448" s="549"/>
      <c r="M1448" s="540"/>
      <c r="O1448" s="540"/>
      <c r="S1448" s="550"/>
      <c r="T1448" s="547"/>
      <c r="U1448" s="547"/>
      <c r="V1448" s="547"/>
      <c r="W1448" s="549"/>
    </row>
    <row r="1449" spans="1:23">
      <c r="A1449" s="565">
        <v>2143</v>
      </c>
      <c r="B1449" s="696" t="s">
        <v>6855</v>
      </c>
      <c r="C1449" s="566">
        <f t="shared" si="22"/>
        <v>2143</v>
      </c>
      <c r="D1449" s="700" t="s">
        <v>2236</v>
      </c>
      <c r="E1449" s="701" t="s">
        <v>9324</v>
      </c>
      <c r="F1449" s="566">
        <v>1</v>
      </c>
      <c r="G1449" s="662">
        <v>19306.519737253137</v>
      </c>
      <c r="H1449" s="662">
        <v>0</v>
      </c>
      <c r="I1449" s="662">
        <v>0</v>
      </c>
      <c r="J1449" s="662">
        <v>0</v>
      </c>
      <c r="K1449" s="566" t="s">
        <v>5290</v>
      </c>
      <c r="L1449" s="549"/>
      <c r="M1449" s="540"/>
      <c r="O1449" s="540"/>
      <c r="S1449" s="550"/>
      <c r="T1449" s="547"/>
      <c r="U1449" s="547"/>
      <c r="V1449" s="547"/>
      <c r="W1449" s="549"/>
    </row>
    <row r="1450" spans="1:23">
      <c r="A1450" s="565">
        <v>2144</v>
      </c>
      <c r="B1450" s="696" t="s">
        <v>6856</v>
      </c>
      <c r="C1450" s="566">
        <f t="shared" si="22"/>
        <v>2144</v>
      </c>
      <c r="D1450" s="700" t="s">
        <v>2236</v>
      </c>
      <c r="E1450" s="701" t="s">
        <v>9325</v>
      </c>
      <c r="F1450" s="566">
        <v>1</v>
      </c>
      <c r="G1450" s="662">
        <v>0</v>
      </c>
      <c r="H1450" s="662">
        <v>0</v>
      </c>
      <c r="I1450" s="662">
        <v>27026.010152350671</v>
      </c>
      <c r="J1450" s="662">
        <v>27996.290503570086</v>
      </c>
      <c r="K1450" s="566" t="s">
        <v>4088</v>
      </c>
      <c r="L1450" s="549"/>
      <c r="M1450" s="540"/>
      <c r="O1450" s="540"/>
      <c r="S1450" s="550"/>
      <c r="T1450" s="547"/>
      <c r="U1450" s="547"/>
      <c r="V1450" s="547"/>
      <c r="W1450" s="549"/>
    </row>
    <row r="1451" spans="1:23">
      <c r="A1451" s="565">
        <v>2145</v>
      </c>
      <c r="B1451" s="696" t="s">
        <v>6857</v>
      </c>
      <c r="C1451" s="566">
        <f t="shared" si="22"/>
        <v>2145</v>
      </c>
      <c r="D1451" s="700" t="s">
        <v>2236</v>
      </c>
      <c r="E1451" s="701" t="s">
        <v>9326</v>
      </c>
      <c r="F1451" s="566">
        <v>1</v>
      </c>
      <c r="G1451" s="662">
        <v>0</v>
      </c>
      <c r="H1451" s="662">
        <v>0</v>
      </c>
      <c r="I1451" s="662">
        <v>25645.64901467456</v>
      </c>
      <c r="J1451" s="662">
        <v>26561.789737187508</v>
      </c>
      <c r="K1451" s="566" t="s">
        <v>4089</v>
      </c>
      <c r="L1451" s="549"/>
      <c r="M1451" s="540"/>
      <c r="O1451" s="540"/>
      <c r="S1451" s="550"/>
      <c r="T1451" s="547"/>
      <c r="U1451" s="547"/>
      <c r="V1451" s="547"/>
      <c r="W1451" s="549"/>
    </row>
    <row r="1452" spans="1:23">
      <c r="A1452" s="565">
        <v>2146</v>
      </c>
      <c r="B1452" s="696" t="s">
        <v>6858</v>
      </c>
      <c r="C1452" s="566">
        <f t="shared" si="22"/>
        <v>2146</v>
      </c>
      <c r="D1452" s="700" t="s">
        <v>2236</v>
      </c>
      <c r="E1452" s="701" t="s">
        <v>9327</v>
      </c>
      <c r="F1452" s="566">
        <v>1</v>
      </c>
      <c r="G1452" s="662">
        <v>23498.420578289508</v>
      </c>
      <c r="H1452" s="662">
        <v>24376.549270639509</v>
      </c>
      <c r="I1452" s="662">
        <v>25254.67796298951</v>
      </c>
      <c r="J1452" s="662">
        <v>26179.030638566615</v>
      </c>
      <c r="K1452" s="566" t="s">
        <v>2088</v>
      </c>
      <c r="L1452" s="549"/>
      <c r="M1452" s="540"/>
      <c r="O1452" s="540"/>
      <c r="S1452" s="550"/>
      <c r="T1452" s="547"/>
      <c r="U1452" s="547"/>
      <c r="V1452" s="547"/>
      <c r="W1452" s="549"/>
    </row>
    <row r="1453" spans="1:23">
      <c r="A1453" s="565">
        <v>2147</v>
      </c>
      <c r="B1453" s="696" t="s">
        <v>6859</v>
      </c>
      <c r="C1453" s="566">
        <f t="shared" si="22"/>
        <v>2147</v>
      </c>
      <c r="D1453" s="700" t="s">
        <v>2236</v>
      </c>
      <c r="E1453" s="701" t="s">
        <v>9328</v>
      </c>
      <c r="F1453" s="566">
        <v>1</v>
      </c>
      <c r="G1453" s="662">
        <v>0</v>
      </c>
      <c r="H1453" s="662">
        <v>0</v>
      </c>
      <c r="I1453" s="662">
        <v>28866.491669252129</v>
      </c>
      <c r="J1453" s="662">
        <v>29908.944082195183</v>
      </c>
      <c r="K1453" s="566" t="s">
        <v>4090</v>
      </c>
      <c r="L1453" s="549"/>
      <c r="M1453" s="540"/>
      <c r="O1453" s="540"/>
      <c r="S1453" s="550"/>
      <c r="T1453" s="547"/>
      <c r="U1453" s="547"/>
      <c r="V1453" s="547"/>
      <c r="W1453" s="549"/>
    </row>
    <row r="1454" spans="1:23">
      <c r="A1454" s="565">
        <v>2148</v>
      </c>
      <c r="B1454" s="696" t="s">
        <v>6860</v>
      </c>
      <c r="C1454" s="566">
        <f t="shared" si="22"/>
        <v>2148</v>
      </c>
      <c r="D1454" s="700" t="s">
        <v>2236</v>
      </c>
      <c r="E1454" s="701" t="s">
        <v>9329</v>
      </c>
      <c r="F1454" s="566">
        <v>1</v>
      </c>
      <c r="G1454" s="662">
        <v>0</v>
      </c>
      <c r="H1454" s="662">
        <v>0</v>
      </c>
      <c r="I1454" s="662">
        <v>26818.150754368584</v>
      </c>
      <c r="J1454" s="662">
        <v>27734.291476881535</v>
      </c>
      <c r="K1454" s="566" t="s">
        <v>4091</v>
      </c>
      <c r="L1454" s="549"/>
      <c r="M1454" s="540"/>
      <c r="O1454" s="540"/>
      <c r="S1454" s="550"/>
      <c r="T1454" s="547"/>
      <c r="U1454" s="547"/>
      <c r="V1454" s="547"/>
      <c r="W1454" s="549"/>
    </row>
    <row r="1455" spans="1:23">
      <c r="A1455" s="565">
        <v>2149</v>
      </c>
      <c r="B1455" s="695" t="s">
        <v>6861</v>
      </c>
      <c r="C1455" s="566">
        <f t="shared" si="22"/>
        <v>2149</v>
      </c>
      <c r="D1455" s="699" t="s">
        <v>2236</v>
      </c>
      <c r="E1455" s="701" t="s">
        <v>9330</v>
      </c>
      <c r="F1455" s="567">
        <v>1</v>
      </c>
      <c r="G1455" s="662">
        <v>0</v>
      </c>
      <c r="H1455" s="662">
        <v>0</v>
      </c>
      <c r="I1455" s="662">
        <v>27844.001937640209</v>
      </c>
      <c r="J1455" s="662">
        <v>28846.325837671811</v>
      </c>
      <c r="K1455" s="568" t="s">
        <v>4093</v>
      </c>
      <c r="L1455" s="549"/>
      <c r="M1455" s="540"/>
      <c r="O1455" s="540"/>
      <c r="S1455" s="550"/>
      <c r="T1455" s="547"/>
      <c r="U1455" s="547"/>
      <c r="V1455" s="547"/>
      <c r="W1455" s="549"/>
    </row>
    <row r="1456" spans="1:23">
      <c r="A1456" s="565">
        <v>2150</v>
      </c>
      <c r="B1456" s="695" t="s">
        <v>6862</v>
      </c>
      <c r="C1456" s="566">
        <f t="shared" si="22"/>
        <v>2150</v>
      </c>
      <c r="D1456" s="699" t="s">
        <v>2236</v>
      </c>
      <c r="E1456" s="701" t="s">
        <v>9331</v>
      </c>
      <c r="F1456" s="567">
        <v>1</v>
      </c>
      <c r="G1456" s="662">
        <v>0</v>
      </c>
      <c r="H1456" s="662">
        <v>0</v>
      </c>
      <c r="I1456" s="662">
        <v>29224.363075316312</v>
      </c>
      <c r="J1456" s="662">
        <v>30280.826604054382</v>
      </c>
      <c r="K1456" s="568" t="s">
        <v>4092</v>
      </c>
      <c r="L1456" s="549"/>
      <c r="M1456" s="540"/>
      <c r="O1456" s="540"/>
      <c r="S1456" s="550"/>
      <c r="T1456" s="547"/>
      <c r="U1456" s="547"/>
      <c r="V1456" s="547"/>
      <c r="W1456" s="549"/>
    </row>
    <row r="1457" spans="1:23">
      <c r="A1457" s="565">
        <v>2151</v>
      </c>
      <c r="B1457" s="696" t="s">
        <v>6863</v>
      </c>
      <c r="C1457" s="566">
        <f t="shared" si="22"/>
        <v>2151</v>
      </c>
      <c r="D1457" s="700" t="s">
        <v>2236</v>
      </c>
      <c r="E1457" s="701" t="s">
        <v>9332</v>
      </c>
      <c r="F1457" s="566">
        <v>1</v>
      </c>
      <c r="G1457" s="662">
        <v>0</v>
      </c>
      <c r="H1457" s="662">
        <v>0</v>
      </c>
      <c r="I1457" s="662">
        <v>26867.85326137716</v>
      </c>
      <c r="J1457" s="662">
        <v>27949.440342698937</v>
      </c>
      <c r="K1457" s="566" t="s">
        <v>4824</v>
      </c>
      <c r="L1457" s="549"/>
      <c r="M1457" s="540"/>
      <c r="O1457" s="540"/>
      <c r="S1457" s="550"/>
      <c r="T1457" s="547"/>
      <c r="U1457" s="547"/>
      <c r="V1457" s="547"/>
      <c r="W1457" s="549"/>
    </row>
    <row r="1458" spans="1:23">
      <c r="A1458" s="565">
        <v>2152</v>
      </c>
      <c r="B1458" s="696" t="s">
        <v>6864</v>
      </c>
      <c r="C1458" s="566">
        <f t="shared" si="22"/>
        <v>2152</v>
      </c>
      <c r="D1458" s="700" t="s">
        <v>2236</v>
      </c>
      <c r="E1458" s="701" t="s">
        <v>9333</v>
      </c>
      <c r="F1458" s="566">
        <v>1</v>
      </c>
      <c r="G1458" s="662">
        <v>27783.124274995116</v>
      </c>
      <c r="H1458" s="662">
        <v>28857.701718719203</v>
      </c>
      <c r="I1458" s="662">
        <v>29932.279162443298</v>
      </c>
      <c r="J1458" s="662">
        <v>31063.401016121999</v>
      </c>
      <c r="K1458" s="566" t="s">
        <v>2089</v>
      </c>
      <c r="L1458" s="549"/>
      <c r="M1458" s="540"/>
      <c r="O1458" s="540"/>
      <c r="S1458" s="550"/>
      <c r="T1458" s="547"/>
      <c r="U1458" s="547"/>
      <c r="V1458" s="547"/>
      <c r="W1458" s="549"/>
    </row>
    <row r="1459" spans="1:23">
      <c r="A1459" s="565">
        <v>2153</v>
      </c>
      <c r="B1459" s="696" t="s">
        <v>6865</v>
      </c>
      <c r="C1459" s="566">
        <f t="shared" si="22"/>
        <v>2153</v>
      </c>
      <c r="D1459" s="700" t="s">
        <v>2236</v>
      </c>
      <c r="E1459" s="701" t="s">
        <v>9334</v>
      </c>
      <c r="F1459" s="566">
        <v>1</v>
      </c>
      <c r="G1459" s="662">
        <v>30277.86529055236</v>
      </c>
      <c r="H1459" s="662">
        <v>31457.587298241637</v>
      </c>
      <c r="I1459" s="662">
        <v>32637.309305930899</v>
      </c>
      <c r="J1459" s="662">
        <v>33879.136702735603</v>
      </c>
      <c r="K1459" s="566" t="s">
        <v>2090</v>
      </c>
      <c r="L1459" s="549"/>
      <c r="M1459" s="540"/>
      <c r="O1459" s="540"/>
      <c r="S1459" s="550"/>
      <c r="T1459" s="547"/>
      <c r="U1459" s="547"/>
      <c r="V1459" s="547"/>
      <c r="W1459" s="549"/>
    </row>
    <row r="1460" spans="1:23">
      <c r="A1460" s="565">
        <v>2154</v>
      </c>
      <c r="B1460" s="696" t="s">
        <v>6866</v>
      </c>
      <c r="C1460" s="566">
        <f t="shared" si="22"/>
        <v>2154</v>
      </c>
      <c r="D1460" s="700" t="s">
        <v>2236</v>
      </c>
      <c r="E1460" s="701" t="s">
        <v>9335</v>
      </c>
      <c r="F1460" s="566">
        <v>1</v>
      </c>
      <c r="G1460" s="662">
        <v>0</v>
      </c>
      <c r="H1460" s="662">
        <v>36946.234632788975</v>
      </c>
      <c r="I1460" s="662">
        <v>38347.928497738052</v>
      </c>
      <c r="J1460" s="662">
        <v>39823.410481132036</v>
      </c>
      <c r="K1460" s="566" t="s">
        <v>3158</v>
      </c>
      <c r="L1460" s="549"/>
      <c r="M1460" s="540"/>
      <c r="O1460" s="540"/>
      <c r="S1460" s="550"/>
      <c r="T1460" s="547"/>
      <c r="U1460" s="547"/>
      <c r="V1460" s="547"/>
      <c r="W1460" s="549"/>
    </row>
    <row r="1461" spans="1:23">
      <c r="A1461" s="565">
        <v>2155</v>
      </c>
      <c r="B1461" s="696" t="s">
        <v>6867</v>
      </c>
      <c r="C1461" s="566">
        <f t="shared" si="22"/>
        <v>2155</v>
      </c>
      <c r="D1461" s="700" t="s">
        <v>2236</v>
      </c>
      <c r="E1461" s="701" t="s">
        <v>9336</v>
      </c>
      <c r="F1461" s="566">
        <v>1</v>
      </c>
      <c r="G1461" s="662">
        <v>0</v>
      </c>
      <c r="H1461" s="662">
        <v>36376.12110635898</v>
      </c>
      <c r="I1461" s="662">
        <v>37737.205804158846</v>
      </c>
      <c r="J1461" s="662">
        <v>39169.975729124308</v>
      </c>
      <c r="K1461" s="566" t="s">
        <v>3159</v>
      </c>
      <c r="L1461" s="549"/>
      <c r="M1461" s="540"/>
      <c r="O1461" s="540"/>
      <c r="S1461" s="550"/>
      <c r="T1461" s="547"/>
      <c r="U1461" s="547"/>
      <c r="V1461" s="547"/>
      <c r="W1461" s="549"/>
    </row>
    <row r="1462" spans="1:23">
      <c r="A1462" s="565">
        <v>2156</v>
      </c>
      <c r="B1462" s="696" t="s">
        <v>6868</v>
      </c>
      <c r="C1462" s="566">
        <f t="shared" si="22"/>
        <v>2156</v>
      </c>
      <c r="D1462" s="700" t="s">
        <v>2236</v>
      </c>
      <c r="E1462" s="701" t="s">
        <v>9337</v>
      </c>
      <c r="F1462" s="566">
        <v>1</v>
      </c>
      <c r="G1462" s="662">
        <v>30058.680932612184</v>
      </c>
      <c r="H1462" s="662">
        <v>0</v>
      </c>
      <c r="I1462" s="662">
        <v>0</v>
      </c>
      <c r="J1462" s="662">
        <v>0</v>
      </c>
      <c r="K1462" s="566" t="s">
        <v>5291</v>
      </c>
      <c r="L1462" s="549"/>
      <c r="M1462" s="540"/>
      <c r="O1462" s="540"/>
      <c r="S1462" s="550"/>
      <c r="T1462" s="547"/>
      <c r="U1462" s="547"/>
      <c r="V1462" s="547"/>
      <c r="W1462" s="549"/>
    </row>
    <row r="1463" spans="1:23">
      <c r="A1463" s="565">
        <v>2157</v>
      </c>
      <c r="B1463" s="696" t="s">
        <v>6869</v>
      </c>
      <c r="C1463" s="566">
        <f t="shared" si="22"/>
        <v>2157</v>
      </c>
      <c r="D1463" s="700" t="s">
        <v>2236</v>
      </c>
      <c r="E1463" s="701" t="s">
        <v>9338</v>
      </c>
      <c r="F1463" s="566">
        <v>1</v>
      </c>
      <c r="G1463" s="662">
        <v>30545.991159610116</v>
      </c>
      <c r="H1463" s="662">
        <v>0</v>
      </c>
      <c r="I1463" s="662">
        <v>0</v>
      </c>
      <c r="J1463" s="662">
        <v>0</v>
      </c>
      <c r="K1463" s="566" t="s">
        <v>5292</v>
      </c>
      <c r="L1463" s="549"/>
      <c r="M1463" s="540"/>
      <c r="O1463" s="540"/>
      <c r="S1463" s="550"/>
      <c r="T1463" s="547"/>
      <c r="U1463" s="547"/>
      <c r="V1463" s="547"/>
      <c r="W1463" s="549"/>
    </row>
    <row r="1464" spans="1:23">
      <c r="A1464" s="565">
        <v>2158</v>
      </c>
      <c r="B1464" s="696" t="s">
        <v>6870</v>
      </c>
      <c r="C1464" s="566">
        <f t="shared" si="22"/>
        <v>2158</v>
      </c>
      <c r="D1464" s="700" t="s">
        <v>2236</v>
      </c>
      <c r="E1464" s="701" t="s">
        <v>9339</v>
      </c>
      <c r="F1464" s="566">
        <v>1</v>
      </c>
      <c r="G1464" s="662">
        <v>0</v>
      </c>
      <c r="H1464" s="662">
        <v>40094.918826097426</v>
      </c>
      <c r="I1464" s="662">
        <v>40996.268358284251</v>
      </c>
      <c r="J1464" s="662">
        <v>41945.081919558979</v>
      </c>
      <c r="K1464" s="566" t="s">
        <v>4094</v>
      </c>
      <c r="L1464" s="549"/>
      <c r="M1464" s="540"/>
      <c r="O1464" s="540"/>
      <c r="S1464" s="550"/>
      <c r="T1464" s="547"/>
      <c r="U1464" s="547"/>
      <c r="V1464" s="547"/>
      <c r="W1464" s="549"/>
    </row>
    <row r="1465" spans="1:23">
      <c r="A1465" s="565">
        <v>2159</v>
      </c>
      <c r="B1465" s="695" t="s">
        <v>6871</v>
      </c>
      <c r="C1465" s="566">
        <f t="shared" si="22"/>
        <v>2159</v>
      </c>
      <c r="D1465" s="699" t="s">
        <v>2236</v>
      </c>
      <c r="E1465" s="701" t="s">
        <v>9340</v>
      </c>
      <c r="F1465" s="567">
        <v>1</v>
      </c>
      <c r="G1465" s="662">
        <v>35596.650444174105</v>
      </c>
      <c r="H1465" s="662">
        <v>36481.654259456001</v>
      </c>
      <c r="I1465" s="662">
        <v>37413.261802936046</v>
      </c>
      <c r="J1465" s="662">
        <v>38393.8819171055</v>
      </c>
      <c r="K1465" s="568" t="s">
        <v>2091</v>
      </c>
      <c r="L1465" s="549"/>
      <c r="M1465" s="540"/>
      <c r="O1465" s="540"/>
      <c r="S1465" s="550"/>
      <c r="T1465" s="547"/>
      <c r="U1465" s="547"/>
      <c r="V1465" s="547"/>
      <c r="W1465" s="549"/>
    </row>
    <row r="1466" spans="1:23">
      <c r="A1466" s="565">
        <v>2160</v>
      </c>
      <c r="B1466" s="696" t="s">
        <v>6872</v>
      </c>
      <c r="C1466" s="566">
        <f t="shared" si="22"/>
        <v>2160</v>
      </c>
      <c r="D1466" s="700" t="s">
        <v>2236</v>
      </c>
      <c r="E1466" s="701" t="s">
        <v>9341</v>
      </c>
      <c r="F1466" s="566">
        <v>1</v>
      </c>
      <c r="G1466" s="662">
        <v>52245.515240124194</v>
      </c>
      <c r="H1466" s="662">
        <v>53680.452634156907</v>
      </c>
      <c r="I1466" s="662">
        <v>55190.938595446154</v>
      </c>
      <c r="J1466" s="662">
        <v>56780.913298701438</v>
      </c>
      <c r="K1466" s="566" t="s">
        <v>2092</v>
      </c>
      <c r="L1466" s="549"/>
      <c r="M1466" s="540"/>
      <c r="O1466" s="540"/>
      <c r="S1466" s="550"/>
      <c r="T1466" s="547"/>
      <c r="U1466" s="547"/>
      <c r="V1466" s="547"/>
      <c r="W1466" s="549"/>
    </row>
    <row r="1467" spans="1:23">
      <c r="A1467" s="565">
        <v>2161</v>
      </c>
      <c r="B1467" s="696" t="s">
        <v>6873</v>
      </c>
      <c r="C1467" s="566">
        <f t="shared" si="22"/>
        <v>2161</v>
      </c>
      <c r="D1467" s="700" t="s">
        <v>2236</v>
      </c>
      <c r="E1467" s="701" t="s">
        <v>9342</v>
      </c>
      <c r="F1467" s="566">
        <v>1</v>
      </c>
      <c r="G1467" s="662">
        <v>0</v>
      </c>
      <c r="H1467" s="662">
        <v>0</v>
      </c>
      <c r="I1467" s="662">
        <v>66181.546428992951</v>
      </c>
      <c r="J1467" s="662">
        <v>67885.500678917917</v>
      </c>
      <c r="K1467" s="566" t="s">
        <v>4095</v>
      </c>
      <c r="L1467" s="549"/>
      <c r="M1467" s="540"/>
      <c r="O1467" s="540"/>
      <c r="S1467" s="550"/>
      <c r="T1467" s="547"/>
      <c r="U1467" s="547"/>
      <c r="V1467" s="547"/>
      <c r="W1467" s="549"/>
    </row>
    <row r="1468" spans="1:23">
      <c r="A1468" s="565">
        <v>2162</v>
      </c>
      <c r="B1468" s="696" t="s">
        <v>6874</v>
      </c>
      <c r="C1468" s="566">
        <f t="shared" si="22"/>
        <v>2162</v>
      </c>
      <c r="D1468" s="700" t="s">
        <v>2236</v>
      </c>
      <c r="E1468" s="701" t="s">
        <v>9343</v>
      </c>
      <c r="F1468" s="566">
        <v>1</v>
      </c>
      <c r="G1468" s="662">
        <v>0</v>
      </c>
      <c r="H1468" s="662">
        <v>0</v>
      </c>
      <c r="I1468" s="662">
        <v>27077.13463893126</v>
      </c>
      <c r="J1468" s="662">
        <v>28049.404483934257</v>
      </c>
      <c r="K1468" s="566" t="s">
        <v>4096</v>
      </c>
      <c r="L1468" s="549"/>
      <c r="M1468" s="540"/>
      <c r="O1468" s="540"/>
      <c r="S1468" s="550"/>
      <c r="T1468" s="547"/>
      <c r="U1468" s="547"/>
      <c r="V1468" s="547"/>
      <c r="W1468" s="549"/>
    </row>
    <row r="1469" spans="1:23">
      <c r="A1469" s="565">
        <v>2163</v>
      </c>
      <c r="B1469" s="696" t="s">
        <v>6875</v>
      </c>
      <c r="C1469" s="566">
        <f t="shared" si="22"/>
        <v>2163</v>
      </c>
      <c r="D1469" s="700" t="s">
        <v>2236</v>
      </c>
      <c r="E1469" s="701" t="s">
        <v>9344</v>
      </c>
      <c r="F1469" s="566">
        <v>1</v>
      </c>
      <c r="G1469" s="662">
        <v>0</v>
      </c>
      <c r="H1469" s="662">
        <v>0</v>
      </c>
      <c r="I1469" s="662">
        <v>32445.205729893885</v>
      </c>
      <c r="J1469" s="662">
        <v>33628.023278717024</v>
      </c>
      <c r="K1469" s="566" t="s">
        <v>4097</v>
      </c>
      <c r="L1469" s="549"/>
      <c r="M1469" s="540"/>
      <c r="O1469" s="540"/>
      <c r="S1469" s="550"/>
      <c r="T1469" s="547"/>
      <c r="U1469" s="547"/>
      <c r="V1469" s="547"/>
      <c r="W1469" s="549"/>
    </row>
    <row r="1470" spans="1:23">
      <c r="A1470" s="565">
        <v>2164</v>
      </c>
      <c r="B1470" s="696" t="s">
        <v>6876</v>
      </c>
      <c r="C1470" s="566">
        <f t="shared" si="22"/>
        <v>2164</v>
      </c>
      <c r="D1470" s="700" t="s">
        <v>2236</v>
      </c>
      <c r="E1470" s="701" t="s">
        <v>9345</v>
      </c>
      <c r="F1470" s="566">
        <v>1</v>
      </c>
      <c r="G1470" s="662">
        <v>0</v>
      </c>
      <c r="H1470" s="662">
        <v>0</v>
      </c>
      <c r="I1470" s="662">
        <v>36535.164656341607</v>
      </c>
      <c r="J1470" s="662">
        <v>37878.369267845592</v>
      </c>
      <c r="K1470" s="566" t="s">
        <v>4098</v>
      </c>
      <c r="L1470" s="549"/>
      <c r="M1470" s="540"/>
      <c r="O1470" s="540"/>
      <c r="S1470" s="550"/>
      <c r="T1470" s="547"/>
      <c r="U1470" s="547"/>
      <c r="V1470" s="547"/>
      <c r="W1470" s="549"/>
    </row>
    <row r="1471" spans="1:23">
      <c r="A1471" s="565">
        <v>2165</v>
      </c>
      <c r="B1471" s="696" t="s">
        <v>6877</v>
      </c>
      <c r="C1471" s="566">
        <f t="shared" si="22"/>
        <v>2165</v>
      </c>
      <c r="D1471" s="700" t="s">
        <v>2236</v>
      </c>
      <c r="E1471" s="701" t="s">
        <v>9346</v>
      </c>
      <c r="F1471" s="566">
        <v>1</v>
      </c>
      <c r="G1471" s="662">
        <v>0</v>
      </c>
      <c r="H1471" s="662">
        <v>0</v>
      </c>
      <c r="I1471" s="662">
        <v>0</v>
      </c>
      <c r="J1471" s="662">
        <v>53406.24522793846</v>
      </c>
      <c r="K1471" s="566" t="s">
        <v>4825</v>
      </c>
      <c r="L1471" s="549"/>
      <c r="M1471" s="540"/>
      <c r="O1471" s="540"/>
      <c r="S1471" s="550"/>
      <c r="T1471" s="547"/>
      <c r="U1471" s="547"/>
      <c r="V1471" s="547"/>
      <c r="W1471" s="549"/>
    </row>
    <row r="1472" spans="1:23">
      <c r="A1472" s="565">
        <v>2166</v>
      </c>
      <c r="B1472" s="696" t="s">
        <v>6878</v>
      </c>
      <c r="C1472" s="566">
        <f t="shared" si="22"/>
        <v>2166</v>
      </c>
      <c r="D1472" s="700" t="s">
        <v>2236</v>
      </c>
      <c r="E1472" s="701" t="s">
        <v>9347</v>
      </c>
      <c r="F1472" s="566">
        <v>1</v>
      </c>
      <c r="G1472" s="662">
        <v>0</v>
      </c>
      <c r="H1472" s="662">
        <v>53827.001137007959</v>
      </c>
      <c r="I1472" s="662">
        <v>55950.002652366951</v>
      </c>
      <c r="J1472" s="662">
        <v>58184.669797536459</v>
      </c>
      <c r="K1472" s="566" t="s">
        <v>4099</v>
      </c>
      <c r="L1472" s="549"/>
      <c r="M1472" s="540"/>
      <c r="O1472" s="540"/>
      <c r="S1472" s="550"/>
      <c r="T1472" s="547"/>
      <c r="U1472" s="547"/>
      <c r="V1472" s="547"/>
      <c r="W1472" s="549"/>
    </row>
    <row r="1473" spans="1:23">
      <c r="A1473" s="565">
        <v>2167</v>
      </c>
      <c r="B1473" s="696" t="s">
        <v>6879</v>
      </c>
      <c r="C1473" s="566">
        <f t="shared" si="22"/>
        <v>2167</v>
      </c>
      <c r="D1473" s="700" t="s">
        <v>2236</v>
      </c>
      <c r="E1473" s="701" t="s">
        <v>9348</v>
      </c>
      <c r="F1473" s="566">
        <v>1</v>
      </c>
      <c r="G1473" s="662">
        <v>0</v>
      </c>
      <c r="H1473" s="662">
        <v>54432.772121582973</v>
      </c>
      <c r="I1473" s="662">
        <v>56612.495374601574</v>
      </c>
      <c r="J1473" s="662">
        <v>58906.93199258855</v>
      </c>
      <c r="K1473" s="566" t="s">
        <v>3160</v>
      </c>
      <c r="L1473" s="549"/>
      <c r="M1473" s="540"/>
      <c r="O1473" s="540"/>
      <c r="S1473" s="550"/>
      <c r="T1473" s="547"/>
      <c r="U1473" s="547"/>
      <c r="V1473" s="547"/>
      <c r="W1473" s="549"/>
    </row>
    <row r="1474" spans="1:23">
      <c r="A1474" s="565">
        <v>2168</v>
      </c>
      <c r="B1474" s="696" t="s">
        <v>6880</v>
      </c>
      <c r="C1474" s="566">
        <f t="shared" si="22"/>
        <v>2168</v>
      </c>
      <c r="D1474" s="700" t="s">
        <v>2236</v>
      </c>
      <c r="E1474" s="701" t="s">
        <v>9349</v>
      </c>
      <c r="F1474" s="566">
        <v>1</v>
      </c>
      <c r="G1474" s="662">
        <v>77527.640997596522</v>
      </c>
      <c r="H1474" s="662">
        <v>80356.320190958242</v>
      </c>
      <c r="I1474" s="662">
        <v>86642.273953984302</v>
      </c>
      <c r="J1474" s="662">
        <v>89950.675127119568</v>
      </c>
      <c r="K1474" s="566" t="s">
        <v>4100</v>
      </c>
      <c r="L1474" s="549"/>
      <c r="M1474" s="540"/>
      <c r="O1474" s="540"/>
      <c r="S1474" s="550"/>
      <c r="T1474" s="547"/>
      <c r="U1474" s="547"/>
      <c r="V1474" s="547"/>
      <c r="W1474" s="549"/>
    </row>
    <row r="1475" spans="1:23">
      <c r="A1475" s="565">
        <v>2169</v>
      </c>
      <c r="B1475" s="696" t="s">
        <v>6881</v>
      </c>
      <c r="C1475" s="566">
        <f t="shared" si="22"/>
        <v>2169</v>
      </c>
      <c r="D1475" s="700" t="s">
        <v>2236</v>
      </c>
      <c r="E1475" s="701" t="s">
        <v>9350</v>
      </c>
      <c r="F1475" s="566">
        <v>1</v>
      </c>
      <c r="G1475" s="662">
        <v>0</v>
      </c>
      <c r="H1475" s="662">
        <v>0</v>
      </c>
      <c r="I1475" s="662">
        <v>0</v>
      </c>
      <c r="J1475" s="662">
        <v>104530.73180853501</v>
      </c>
      <c r="K1475" s="566" t="s">
        <v>4826</v>
      </c>
      <c r="L1475" s="549"/>
      <c r="M1475" s="540"/>
      <c r="O1475" s="540"/>
      <c r="S1475" s="550"/>
      <c r="T1475" s="547"/>
      <c r="U1475" s="547"/>
      <c r="V1475" s="547"/>
      <c r="W1475" s="549"/>
    </row>
    <row r="1476" spans="1:23">
      <c r="A1476" s="565">
        <v>2170</v>
      </c>
      <c r="B1476" s="696" t="s">
        <v>6882</v>
      </c>
      <c r="C1476" s="566">
        <f t="shared" si="22"/>
        <v>2170</v>
      </c>
      <c r="D1476" s="700" t="s">
        <v>2236</v>
      </c>
      <c r="E1476" s="701" t="s">
        <v>9351</v>
      </c>
      <c r="F1476" s="566">
        <v>1</v>
      </c>
      <c r="G1476" s="662">
        <v>0</v>
      </c>
      <c r="H1476" s="662">
        <v>32808.189584616121</v>
      </c>
      <c r="I1476" s="662">
        <v>34005.187567854176</v>
      </c>
      <c r="J1476" s="662">
        <v>35265.214407342362</v>
      </c>
      <c r="K1476" s="566" t="s">
        <v>3161</v>
      </c>
      <c r="L1476" s="549"/>
      <c r="M1476" s="540"/>
      <c r="O1476" s="540"/>
      <c r="S1476" s="550"/>
      <c r="T1476" s="547"/>
      <c r="U1476" s="547"/>
      <c r="V1476" s="547"/>
      <c r="W1476" s="549"/>
    </row>
    <row r="1477" spans="1:23">
      <c r="A1477" s="565">
        <v>2171</v>
      </c>
      <c r="B1477" s="696" t="s">
        <v>6883</v>
      </c>
      <c r="C1477" s="566">
        <f t="shared" si="22"/>
        <v>2171</v>
      </c>
      <c r="D1477" s="700" t="s">
        <v>2236</v>
      </c>
      <c r="E1477" s="701" t="s">
        <v>9352</v>
      </c>
      <c r="F1477" s="566">
        <v>1</v>
      </c>
      <c r="G1477" s="662">
        <v>26990.637504511458</v>
      </c>
      <c r="H1477" s="662">
        <v>27615.605039463182</v>
      </c>
      <c r="I1477" s="662">
        <v>28273.449951800038</v>
      </c>
      <c r="J1477" s="662">
        <v>28965.97501461775</v>
      </c>
      <c r="K1477" s="566" t="s">
        <v>2093</v>
      </c>
      <c r="L1477" s="549"/>
      <c r="M1477" s="540"/>
      <c r="O1477" s="540"/>
      <c r="S1477" s="550"/>
      <c r="T1477" s="547"/>
      <c r="U1477" s="547"/>
      <c r="V1477" s="547"/>
      <c r="W1477" s="549"/>
    </row>
    <row r="1478" spans="1:23">
      <c r="A1478" s="565">
        <v>2172</v>
      </c>
      <c r="B1478" s="696" t="s">
        <v>6884</v>
      </c>
      <c r="C1478" s="566">
        <f t="shared" si="22"/>
        <v>2172</v>
      </c>
      <c r="D1478" s="700" t="s">
        <v>2236</v>
      </c>
      <c r="E1478" s="701" t="s">
        <v>9353</v>
      </c>
      <c r="F1478" s="566">
        <v>1</v>
      </c>
      <c r="G1478" s="662">
        <v>0</v>
      </c>
      <c r="H1478" s="662">
        <v>0</v>
      </c>
      <c r="I1478" s="662">
        <v>0</v>
      </c>
      <c r="J1478" s="662">
        <v>29735.598852833347</v>
      </c>
      <c r="K1478" s="566" t="s">
        <v>4827</v>
      </c>
      <c r="L1478" s="549"/>
      <c r="M1478" s="540"/>
      <c r="O1478" s="540"/>
      <c r="S1478" s="550"/>
      <c r="T1478" s="547"/>
      <c r="U1478" s="547"/>
      <c r="V1478" s="547"/>
      <c r="W1478" s="549"/>
    </row>
    <row r="1479" spans="1:23">
      <c r="A1479" s="565">
        <v>2173</v>
      </c>
      <c r="B1479" s="696" t="s">
        <v>6885</v>
      </c>
      <c r="C1479" s="566">
        <f t="shared" si="22"/>
        <v>2173</v>
      </c>
      <c r="D1479" s="700" t="s">
        <v>2236</v>
      </c>
      <c r="E1479" s="701" t="s">
        <v>9354</v>
      </c>
      <c r="F1479" s="566">
        <v>1</v>
      </c>
      <c r="G1479" s="662">
        <v>0</v>
      </c>
      <c r="H1479" s="662">
        <v>0</v>
      </c>
      <c r="I1479" s="662">
        <v>28034.605658132168</v>
      </c>
      <c r="J1479" s="662">
        <v>28685.982889671941</v>
      </c>
      <c r="K1479" s="566" t="s">
        <v>4101</v>
      </c>
      <c r="L1479" s="549"/>
      <c r="M1479" s="540"/>
      <c r="O1479" s="540"/>
      <c r="S1479" s="550"/>
      <c r="T1479" s="547"/>
      <c r="U1479" s="547"/>
      <c r="V1479" s="547"/>
      <c r="W1479" s="549"/>
    </row>
    <row r="1480" spans="1:23">
      <c r="A1480" s="565">
        <v>2174</v>
      </c>
      <c r="B1480" s="696" t="s">
        <v>6886</v>
      </c>
      <c r="C1480" s="566">
        <f t="shared" si="22"/>
        <v>2174</v>
      </c>
      <c r="D1480" s="700" t="s">
        <v>2236</v>
      </c>
      <c r="E1480" s="701" t="s">
        <v>9355</v>
      </c>
      <c r="F1480" s="566">
        <v>1</v>
      </c>
      <c r="G1480" s="662">
        <v>0</v>
      </c>
      <c r="H1480" s="662">
        <v>0</v>
      </c>
      <c r="I1480" s="662">
        <v>28974.176996390801</v>
      </c>
      <c r="J1480" s="662">
        <v>29649.306228099147</v>
      </c>
      <c r="K1480" s="566" t="s">
        <v>4102</v>
      </c>
      <c r="L1480" s="549"/>
      <c r="M1480" s="540"/>
      <c r="O1480" s="540"/>
      <c r="S1480" s="550"/>
      <c r="T1480" s="547"/>
      <c r="U1480" s="547"/>
      <c r="V1480" s="547"/>
      <c r="W1480" s="549"/>
    </row>
    <row r="1481" spans="1:23">
      <c r="A1481" s="565">
        <v>2175</v>
      </c>
      <c r="B1481" s="696" t="s">
        <v>6887</v>
      </c>
      <c r="C1481" s="566">
        <f t="shared" ref="C1481:C1544" si="23">A1481</f>
        <v>2175</v>
      </c>
      <c r="D1481" s="700" t="s">
        <v>2236</v>
      </c>
      <c r="E1481" s="701" t="s">
        <v>9356</v>
      </c>
      <c r="F1481" s="566">
        <v>1</v>
      </c>
      <c r="G1481" s="662">
        <v>28869.780181028738</v>
      </c>
      <c r="H1481" s="662">
        <v>0</v>
      </c>
      <c r="I1481" s="662">
        <v>0</v>
      </c>
      <c r="J1481" s="662">
        <v>0</v>
      </c>
      <c r="K1481" s="566" t="s">
        <v>5293</v>
      </c>
      <c r="L1481" s="549"/>
      <c r="M1481" s="540"/>
      <c r="O1481" s="540"/>
      <c r="S1481" s="550"/>
      <c r="T1481" s="547"/>
      <c r="U1481" s="547"/>
      <c r="V1481" s="547"/>
      <c r="W1481" s="549"/>
    </row>
    <row r="1482" spans="1:23">
      <c r="A1482" s="565">
        <v>2176</v>
      </c>
      <c r="B1482" s="696" t="s">
        <v>6888</v>
      </c>
      <c r="C1482" s="566">
        <f t="shared" si="23"/>
        <v>2176</v>
      </c>
      <c r="D1482" s="700" t="s">
        <v>2236</v>
      </c>
      <c r="E1482" s="701" t="s">
        <v>9357</v>
      </c>
      <c r="F1482" s="566">
        <v>1</v>
      </c>
      <c r="G1482" s="662">
        <v>30826.738590089466</v>
      </c>
      <c r="H1482" s="662">
        <v>0</v>
      </c>
      <c r="I1482" s="662">
        <v>0</v>
      </c>
      <c r="J1482" s="662">
        <v>0</v>
      </c>
      <c r="K1482" s="566" t="s">
        <v>5294</v>
      </c>
      <c r="L1482" s="549"/>
      <c r="M1482" s="540"/>
      <c r="O1482" s="540"/>
      <c r="S1482" s="550"/>
      <c r="T1482" s="547"/>
      <c r="U1482" s="547"/>
      <c r="V1482" s="547"/>
      <c r="W1482" s="549"/>
    </row>
    <row r="1483" spans="1:23">
      <c r="A1483" s="565">
        <v>2177</v>
      </c>
      <c r="B1483" s="696" t="s">
        <v>6889</v>
      </c>
      <c r="C1483" s="566">
        <f t="shared" si="23"/>
        <v>2177</v>
      </c>
      <c r="D1483" s="700" t="s">
        <v>2236</v>
      </c>
      <c r="E1483" s="701" t="s">
        <v>9358</v>
      </c>
      <c r="F1483" s="566">
        <v>1</v>
      </c>
      <c r="G1483" s="662">
        <v>36347.397159097847</v>
      </c>
      <c r="H1483" s="662">
        <v>37210.051963342048</v>
      </c>
      <c r="I1483" s="662">
        <v>38118.129215482921</v>
      </c>
      <c r="J1483" s="662">
        <v>39073.989247305639</v>
      </c>
      <c r="K1483" s="566" t="s">
        <v>3162</v>
      </c>
      <c r="L1483" s="549"/>
      <c r="M1483" s="540"/>
      <c r="O1483" s="540"/>
      <c r="S1483" s="550"/>
      <c r="T1483" s="547"/>
      <c r="U1483" s="547"/>
      <c r="V1483" s="547"/>
      <c r="W1483" s="549"/>
    </row>
    <row r="1484" spans="1:23">
      <c r="A1484" s="565">
        <v>2178</v>
      </c>
      <c r="B1484" s="695" t="s">
        <v>6890</v>
      </c>
      <c r="C1484" s="566">
        <f t="shared" si="23"/>
        <v>2178</v>
      </c>
      <c r="D1484" s="699" t="s">
        <v>2236</v>
      </c>
      <c r="E1484" s="701" t="s">
        <v>9359</v>
      </c>
      <c r="F1484" s="567">
        <v>1</v>
      </c>
      <c r="G1484" s="662">
        <v>30935.209648456152</v>
      </c>
      <c r="H1484" s="662">
        <v>31660.946623872638</v>
      </c>
      <c r="I1484" s="662">
        <v>32424.876369513222</v>
      </c>
      <c r="J1484" s="662">
        <v>33229.024681949391</v>
      </c>
      <c r="K1484" s="568" t="s">
        <v>3163</v>
      </c>
      <c r="L1484" s="549"/>
      <c r="M1484" s="540"/>
      <c r="O1484" s="540"/>
      <c r="S1484" s="550"/>
      <c r="T1484" s="547"/>
      <c r="U1484" s="547"/>
      <c r="V1484" s="547"/>
      <c r="W1484" s="549"/>
    </row>
    <row r="1485" spans="1:23">
      <c r="A1485" s="565">
        <v>2179</v>
      </c>
      <c r="B1485" s="696" t="s">
        <v>6891</v>
      </c>
      <c r="C1485" s="566">
        <f t="shared" si="23"/>
        <v>2179</v>
      </c>
      <c r="D1485" s="700" t="s">
        <v>2236</v>
      </c>
      <c r="E1485" s="701" t="s">
        <v>9360</v>
      </c>
      <c r="F1485" s="566">
        <v>1</v>
      </c>
      <c r="G1485" s="662">
        <v>30396.939832331056</v>
      </c>
      <c r="H1485" s="662">
        <v>0</v>
      </c>
      <c r="I1485" s="662">
        <v>0</v>
      </c>
      <c r="J1485" s="662">
        <v>0</v>
      </c>
      <c r="K1485" s="566" t="s">
        <v>5295</v>
      </c>
      <c r="L1485" s="549"/>
      <c r="M1485" s="540"/>
      <c r="O1485" s="540"/>
      <c r="S1485" s="550"/>
      <c r="T1485" s="547"/>
      <c r="U1485" s="547"/>
      <c r="V1485" s="547"/>
      <c r="W1485" s="549"/>
    </row>
    <row r="1486" spans="1:23">
      <c r="A1486" s="565">
        <v>2180</v>
      </c>
      <c r="B1486" s="696" t="s">
        <v>6892</v>
      </c>
      <c r="C1486" s="566">
        <f t="shared" si="23"/>
        <v>2180</v>
      </c>
      <c r="D1486" s="700" t="s">
        <v>2236</v>
      </c>
      <c r="E1486" s="701" t="s">
        <v>9361</v>
      </c>
      <c r="F1486" s="566">
        <v>1</v>
      </c>
      <c r="G1486" s="662">
        <v>0</v>
      </c>
      <c r="H1486" s="662">
        <v>33602.435810775962</v>
      </c>
      <c r="I1486" s="662">
        <v>34394.708123127857</v>
      </c>
      <c r="J1486" s="662">
        <v>35228.630069578161</v>
      </c>
      <c r="K1486" s="566" t="s">
        <v>3164</v>
      </c>
      <c r="L1486" s="549"/>
      <c r="M1486" s="540"/>
      <c r="O1486" s="540"/>
      <c r="S1486" s="550"/>
      <c r="T1486" s="547"/>
      <c r="U1486" s="547"/>
      <c r="V1486" s="547"/>
      <c r="W1486" s="549"/>
    </row>
    <row r="1487" spans="1:23">
      <c r="A1487" s="565">
        <v>2181</v>
      </c>
      <c r="B1487" s="695" t="s">
        <v>6893</v>
      </c>
      <c r="C1487" s="566">
        <f t="shared" si="23"/>
        <v>2181</v>
      </c>
      <c r="D1487" s="699" t="s">
        <v>2236</v>
      </c>
      <c r="E1487" s="701" t="s">
        <v>9362</v>
      </c>
      <c r="F1487" s="567">
        <v>1</v>
      </c>
      <c r="G1487" s="662">
        <v>29226.443902002717</v>
      </c>
      <c r="H1487" s="662">
        <v>32336.970903733341</v>
      </c>
      <c r="I1487" s="662">
        <v>0</v>
      </c>
      <c r="J1487" s="662">
        <v>0</v>
      </c>
      <c r="K1487" s="568" t="s">
        <v>2094</v>
      </c>
      <c r="L1487" s="549"/>
      <c r="M1487" s="540"/>
      <c r="O1487" s="540"/>
      <c r="S1487" s="550"/>
      <c r="T1487" s="547"/>
      <c r="U1487" s="547"/>
      <c r="V1487" s="547"/>
      <c r="W1487" s="549"/>
    </row>
    <row r="1488" spans="1:23">
      <c r="A1488" s="565">
        <v>2182</v>
      </c>
      <c r="B1488" s="695" t="s">
        <v>6894</v>
      </c>
      <c r="C1488" s="566">
        <f t="shared" si="23"/>
        <v>2182</v>
      </c>
      <c r="D1488" s="699" t="s">
        <v>2236</v>
      </c>
      <c r="E1488" s="701" t="s">
        <v>9363</v>
      </c>
      <c r="F1488" s="567">
        <v>1</v>
      </c>
      <c r="G1488" s="662">
        <v>0</v>
      </c>
      <c r="H1488" s="662">
        <v>0</v>
      </c>
      <c r="I1488" s="662">
        <v>0</v>
      </c>
      <c r="J1488" s="662">
        <v>39866.244732500236</v>
      </c>
      <c r="K1488" s="568" t="s">
        <v>4828</v>
      </c>
      <c r="L1488" s="549"/>
      <c r="M1488" s="540"/>
      <c r="O1488" s="540"/>
      <c r="S1488" s="550"/>
      <c r="T1488" s="547"/>
      <c r="U1488" s="547"/>
      <c r="V1488" s="547"/>
      <c r="W1488" s="549"/>
    </row>
    <row r="1489" spans="1:23">
      <c r="A1489" s="565">
        <v>2183</v>
      </c>
      <c r="B1489" s="695" t="s">
        <v>6895</v>
      </c>
      <c r="C1489" s="566">
        <f t="shared" si="23"/>
        <v>2183</v>
      </c>
      <c r="D1489" s="699" t="s">
        <v>2236</v>
      </c>
      <c r="E1489" s="701" t="s">
        <v>9364</v>
      </c>
      <c r="F1489" s="567">
        <v>1</v>
      </c>
      <c r="G1489" s="662">
        <v>0</v>
      </c>
      <c r="H1489" s="662">
        <v>0</v>
      </c>
      <c r="I1489" s="662">
        <v>0</v>
      </c>
      <c r="J1489" s="662">
        <v>37082.329656178343</v>
      </c>
      <c r="K1489" s="568" t="s">
        <v>4829</v>
      </c>
      <c r="L1489" s="549"/>
      <c r="M1489" s="540"/>
      <c r="O1489" s="540"/>
      <c r="S1489" s="550"/>
      <c r="T1489" s="547"/>
      <c r="U1489" s="547"/>
      <c r="V1489" s="547"/>
      <c r="W1489" s="549"/>
    </row>
    <row r="1490" spans="1:23">
      <c r="A1490" s="565">
        <v>2184</v>
      </c>
      <c r="B1490" s="695" t="s">
        <v>6896</v>
      </c>
      <c r="C1490" s="566">
        <f t="shared" si="23"/>
        <v>2184</v>
      </c>
      <c r="D1490" s="699" t="s">
        <v>2236</v>
      </c>
      <c r="E1490" s="701" t="s">
        <v>9365</v>
      </c>
      <c r="F1490" s="567">
        <v>1</v>
      </c>
      <c r="G1490" s="662">
        <v>0</v>
      </c>
      <c r="H1490" s="662">
        <v>0</v>
      </c>
      <c r="I1490" s="662">
        <v>0</v>
      </c>
      <c r="J1490" s="662">
        <v>37082.329656178343</v>
      </c>
      <c r="K1490" s="568" t="s">
        <v>4830</v>
      </c>
      <c r="L1490" s="549"/>
      <c r="M1490" s="540"/>
      <c r="O1490" s="540"/>
      <c r="S1490" s="550"/>
      <c r="T1490" s="547"/>
      <c r="U1490" s="547"/>
      <c r="V1490" s="547"/>
      <c r="W1490" s="549"/>
    </row>
    <row r="1491" spans="1:23">
      <c r="A1491" s="565">
        <v>2185</v>
      </c>
      <c r="B1491" s="695" t="s">
        <v>6897</v>
      </c>
      <c r="C1491" s="566">
        <f t="shared" si="23"/>
        <v>2185</v>
      </c>
      <c r="D1491" s="699" t="s">
        <v>2236</v>
      </c>
      <c r="E1491" s="701" t="s">
        <v>9366</v>
      </c>
      <c r="F1491" s="567">
        <v>1</v>
      </c>
      <c r="G1491" s="662">
        <v>0</v>
      </c>
      <c r="H1491" s="662">
        <v>0</v>
      </c>
      <c r="I1491" s="662">
        <v>0</v>
      </c>
      <c r="J1491" s="662">
        <v>34997.873242782312</v>
      </c>
      <c r="K1491" s="568" t="s">
        <v>4831</v>
      </c>
      <c r="L1491" s="549"/>
      <c r="M1491" s="540"/>
      <c r="O1491" s="540"/>
      <c r="S1491" s="550"/>
      <c r="T1491" s="547"/>
      <c r="U1491" s="547"/>
      <c r="V1491" s="547"/>
      <c r="W1491" s="549"/>
    </row>
    <row r="1492" spans="1:23">
      <c r="A1492" s="565">
        <v>2186</v>
      </c>
      <c r="B1492" s="695" t="s">
        <v>6898</v>
      </c>
      <c r="C1492" s="566">
        <f t="shared" si="23"/>
        <v>2186</v>
      </c>
      <c r="D1492" s="699" t="s">
        <v>2236</v>
      </c>
      <c r="E1492" s="701" t="s">
        <v>9367</v>
      </c>
      <c r="F1492" s="567">
        <v>1</v>
      </c>
      <c r="G1492" s="662">
        <v>52036.059703603743</v>
      </c>
      <c r="H1492" s="662">
        <v>0</v>
      </c>
      <c r="I1492" s="662">
        <v>0</v>
      </c>
      <c r="J1492" s="662">
        <v>0</v>
      </c>
      <c r="K1492" s="568" t="s">
        <v>5296</v>
      </c>
      <c r="L1492" s="549"/>
      <c r="M1492" s="540"/>
      <c r="O1492" s="540"/>
      <c r="S1492" s="550"/>
      <c r="T1492" s="547"/>
      <c r="U1492" s="547"/>
      <c r="V1492" s="547"/>
      <c r="W1492" s="549"/>
    </row>
    <row r="1493" spans="1:23">
      <c r="A1493" s="565">
        <v>2187</v>
      </c>
      <c r="B1493" s="695" t="s">
        <v>6899</v>
      </c>
      <c r="C1493" s="566">
        <f t="shared" si="23"/>
        <v>2187</v>
      </c>
      <c r="D1493" s="699" t="s">
        <v>2236</v>
      </c>
      <c r="E1493" s="701" t="s">
        <v>9368</v>
      </c>
      <c r="F1493" s="567">
        <v>1</v>
      </c>
      <c r="G1493" s="662">
        <v>89227.459123725377</v>
      </c>
      <c r="H1493" s="662">
        <v>0</v>
      </c>
      <c r="I1493" s="662">
        <v>0</v>
      </c>
      <c r="J1493" s="662">
        <v>0</v>
      </c>
      <c r="K1493" s="568" t="s">
        <v>5297</v>
      </c>
      <c r="L1493" s="549"/>
      <c r="M1493" s="540"/>
      <c r="O1493" s="540"/>
      <c r="S1493" s="550"/>
      <c r="T1493" s="547"/>
      <c r="U1493" s="547"/>
      <c r="V1493" s="547"/>
      <c r="W1493" s="549"/>
    </row>
    <row r="1494" spans="1:23">
      <c r="A1494" s="565">
        <v>2188</v>
      </c>
      <c r="B1494" s="695" t="s">
        <v>6900</v>
      </c>
      <c r="C1494" s="566">
        <f t="shared" si="23"/>
        <v>2188</v>
      </c>
      <c r="D1494" s="699" t="s">
        <v>2236</v>
      </c>
      <c r="E1494" s="701" t="s">
        <v>9369</v>
      </c>
      <c r="F1494" s="567">
        <v>1</v>
      </c>
      <c r="G1494" s="662">
        <v>68232.346336311472</v>
      </c>
      <c r="H1494" s="662">
        <v>68232.346336311472</v>
      </c>
      <c r="I1494" s="662">
        <v>68232.346336311486</v>
      </c>
      <c r="J1494" s="662">
        <v>70818.688254970679</v>
      </c>
      <c r="K1494" s="568" t="s">
        <v>4103</v>
      </c>
      <c r="L1494" s="549"/>
      <c r="M1494" s="540"/>
      <c r="O1494" s="540"/>
      <c r="S1494" s="550"/>
      <c r="T1494" s="547"/>
      <c r="U1494" s="547"/>
      <c r="V1494" s="547"/>
      <c r="W1494" s="549"/>
    </row>
    <row r="1495" spans="1:23">
      <c r="A1495" s="565">
        <v>2189</v>
      </c>
      <c r="B1495" s="695" t="s">
        <v>6901</v>
      </c>
      <c r="C1495" s="566">
        <f t="shared" si="23"/>
        <v>2189</v>
      </c>
      <c r="D1495" s="699" t="s">
        <v>2236</v>
      </c>
      <c r="E1495" s="701" t="s">
        <v>9370</v>
      </c>
      <c r="F1495" s="567">
        <v>1</v>
      </c>
      <c r="G1495" s="662">
        <v>0</v>
      </c>
      <c r="H1495" s="662">
        <v>53131.996805281087</v>
      </c>
      <c r="I1495" s="662">
        <v>55153.237830092497</v>
      </c>
      <c r="J1495" s="662">
        <v>57280.853277843176</v>
      </c>
      <c r="K1495" s="568" t="s">
        <v>3165</v>
      </c>
      <c r="L1495" s="549"/>
      <c r="M1495" s="540"/>
      <c r="O1495" s="540"/>
      <c r="S1495" s="550"/>
      <c r="T1495" s="547"/>
      <c r="U1495" s="547"/>
      <c r="V1495" s="547"/>
      <c r="W1495" s="549"/>
    </row>
    <row r="1496" spans="1:23">
      <c r="A1496" s="565">
        <v>2190</v>
      </c>
      <c r="B1496" s="695" t="s">
        <v>6902</v>
      </c>
      <c r="C1496" s="566">
        <f t="shared" si="23"/>
        <v>2190</v>
      </c>
      <c r="D1496" s="699" t="s">
        <v>2236</v>
      </c>
      <c r="E1496" s="701" t="s">
        <v>9371</v>
      </c>
      <c r="F1496" s="567">
        <v>1</v>
      </c>
      <c r="G1496" s="662">
        <v>60308.050916319022</v>
      </c>
      <c r="H1496" s="662">
        <v>62583.60850818942</v>
      </c>
      <c r="I1496" s="662">
        <v>64978.916693969593</v>
      </c>
      <c r="J1496" s="662">
        <v>67500.324921905005</v>
      </c>
      <c r="K1496" s="568" t="s">
        <v>2095</v>
      </c>
      <c r="L1496" s="549"/>
      <c r="M1496" s="540"/>
      <c r="O1496" s="540"/>
      <c r="S1496" s="550"/>
      <c r="T1496" s="547"/>
      <c r="U1496" s="547"/>
      <c r="V1496" s="547"/>
      <c r="W1496" s="549"/>
    </row>
    <row r="1497" spans="1:23">
      <c r="A1497" s="565">
        <v>2191</v>
      </c>
      <c r="B1497" s="696" t="s">
        <v>6903</v>
      </c>
      <c r="C1497" s="566">
        <f t="shared" si="23"/>
        <v>2191</v>
      </c>
      <c r="D1497" s="700" t="s">
        <v>2236</v>
      </c>
      <c r="E1497" s="701" t="s">
        <v>9372</v>
      </c>
      <c r="F1497" s="566">
        <v>1</v>
      </c>
      <c r="G1497" s="662">
        <v>65907.995546481805</v>
      </c>
      <c r="H1497" s="662">
        <v>0</v>
      </c>
      <c r="I1497" s="662">
        <v>0</v>
      </c>
      <c r="J1497" s="662">
        <v>0</v>
      </c>
      <c r="K1497" s="566" t="s">
        <v>5298</v>
      </c>
      <c r="L1497" s="549"/>
      <c r="M1497" s="540"/>
      <c r="O1497" s="540"/>
      <c r="S1497" s="550"/>
      <c r="T1497" s="547"/>
      <c r="U1497" s="547"/>
      <c r="V1497" s="547"/>
      <c r="W1497" s="549"/>
    </row>
    <row r="1498" spans="1:23">
      <c r="A1498" s="565">
        <v>2192</v>
      </c>
      <c r="B1498" s="696" t="s">
        <v>6904</v>
      </c>
      <c r="C1498" s="566">
        <f t="shared" si="23"/>
        <v>2192</v>
      </c>
      <c r="D1498" s="700" t="s">
        <v>2236</v>
      </c>
      <c r="E1498" s="701" t="s">
        <v>9373</v>
      </c>
      <c r="F1498" s="566">
        <v>1</v>
      </c>
      <c r="G1498" s="662">
        <v>0</v>
      </c>
      <c r="H1498" s="662">
        <v>0</v>
      </c>
      <c r="I1498" s="662">
        <v>0</v>
      </c>
      <c r="J1498" s="662">
        <v>89450.962597201811</v>
      </c>
      <c r="K1498" s="566" t="s">
        <v>4832</v>
      </c>
      <c r="L1498" s="549"/>
      <c r="M1498" s="540"/>
      <c r="O1498" s="540"/>
      <c r="S1498" s="550"/>
      <c r="T1498" s="547"/>
      <c r="U1498" s="547"/>
      <c r="V1498" s="547"/>
      <c r="W1498" s="549"/>
    </row>
    <row r="1499" spans="1:23">
      <c r="A1499" s="565">
        <v>2193</v>
      </c>
      <c r="B1499" s="696" t="s">
        <v>6905</v>
      </c>
      <c r="C1499" s="566">
        <f t="shared" si="23"/>
        <v>2193</v>
      </c>
      <c r="D1499" s="700" t="s">
        <v>2236</v>
      </c>
      <c r="E1499" s="701" t="s">
        <v>9374</v>
      </c>
      <c r="F1499" s="566">
        <v>1</v>
      </c>
      <c r="G1499" s="662">
        <v>0</v>
      </c>
      <c r="H1499" s="662">
        <v>0</v>
      </c>
      <c r="I1499" s="662">
        <v>114354.98874040232</v>
      </c>
      <c r="J1499" s="662">
        <v>0</v>
      </c>
      <c r="K1499" s="566" t="s">
        <v>4833</v>
      </c>
      <c r="L1499" s="549"/>
      <c r="M1499" s="540"/>
      <c r="O1499" s="540"/>
      <c r="S1499" s="550"/>
      <c r="T1499" s="547"/>
      <c r="U1499" s="547"/>
      <c r="V1499" s="547"/>
      <c r="W1499" s="549"/>
    </row>
    <row r="1500" spans="1:23">
      <c r="A1500" s="565">
        <v>2194</v>
      </c>
      <c r="B1500" s="695" t="s">
        <v>6906</v>
      </c>
      <c r="C1500" s="566">
        <f t="shared" si="23"/>
        <v>2194</v>
      </c>
      <c r="D1500" s="699" t="s">
        <v>2236</v>
      </c>
      <c r="E1500" s="701" t="s">
        <v>9375</v>
      </c>
      <c r="F1500" s="567">
        <v>1</v>
      </c>
      <c r="G1500" s="662">
        <v>61749.635360153086</v>
      </c>
      <c r="H1500" s="662">
        <v>64168.055537546788</v>
      </c>
      <c r="I1500" s="662">
        <v>66713.718657779944</v>
      </c>
      <c r="J1500" s="662">
        <v>69393.397465647722</v>
      </c>
      <c r="K1500" s="568" t="s">
        <v>2096</v>
      </c>
      <c r="L1500" s="549"/>
      <c r="M1500" s="540"/>
      <c r="O1500" s="540"/>
      <c r="S1500" s="550"/>
      <c r="T1500" s="547"/>
      <c r="U1500" s="547"/>
      <c r="V1500" s="547"/>
      <c r="W1500" s="549"/>
    </row>
    <row r="1501" spans="1:23">
      <c r="A1501" s="565">
        <v>2195</v>
      </c>
      <c r="B1501" s="695" t="s">
        <v>6907</v>
      </c>
      <c r="C1501" s="566">
        <f t="shared" si="23"/>
        <v>2195</v>
      </c>
      <c r="D1501" s="699" t="s">
        <v>2236</v>
      </c>
      <c r="E1501" s="701" t="s">
        <v>9376</v>
      </c>
      <c r="F1501" s="567">
        <v>1</v>
      </c>
      <c r="G1501" s="662">
        <v>0</v>
      </c>
      <c r="H1501" s="662">
        <v>0</v>
      </c>
      <c r="I1501" s="662">
        <v>0</v>
      </c>
      <c r="J1501" s="662">
        <v>30502.475239831227</v>
      </c>
      <c r="K1501" s="568" t="s">
        <v>4834</v>
      </c>
      <c r="L1501" s="549"/>
      <c r="M1501" s="540"/>
      <c r="O1501" s="540"/>
      <c r="S1501" s="550"/>
      <c r="T1501" s="547"/>
      <c r="U1501" s="547"/>
      <c r="V1501" s="547"/>
      <c r="W1501" s="549"/>
    </row>
    <row r="1502" spans="1:23">
      <c r="A1502" s="565">
        <v>2196</v>
      </c>
      <c r="B1502" s="696" t="s">
        <v>6908</v>
      </c>
      <c r="C1502" s="566">
        <f t="shared" si="23"/>
        <v>2196</v>
      </c>
      <c r="D1502" s="700" t="s">
        <v>2236</v>
      </c>
      <c r="E1502" s="701" t="s">
        <v>9377</v>
      </c>
      <c r="F1502" s="566">
        <v>1</v>
      </c>
      <c r="G1502" s="662">
        <v>0</v>
      </c>
      <c r="H1502" s="662">
        <v>0</v>
      </c>
      <c r="I1502" s="662">
        <v>0</v>
      </c>
      <c r="J1502" s="662">
        <v>28968.740642413333</v>
      </c>
      <c r="K1502" s="566" t="s">
        <v>4835</v>
      </c>
      <c r="L1502" s="549"/>
      <c r="M1502" s="540"/>
      <c r="O1502" s="540"/>
      <c r="S1502" s="550"/>
      <c r="T1502" s="547"/>
      <c r="U1502" s="547"/>
      <c r="V1502" s="547"/>
      <c r="W1502" s="549"/>
    </row>
    <row r="1503" spans="1:23">
      <c r="A1503" s="565">
        <v>2197</v>
      </c>
      <c r="B1503" s="695" t="s">
        <v>6909</v>
      </c>
      <c r="C1503" s="566">
        <f t="shared" si="23"/>
        <v>2197</v>
      </c>
      <c r="D1503" s="699" t="s">
        <v>2236</v>
      </c>
      <c r="E1503" s="701" t="s">
        <v>9378</v>
      </c>
      <c r="F1503" s="567">
        <v>1</v>
      </c>
      <c r="G1503" s="662">
        <v>0</v>
      </c>
      <c r="H1503" s="662">
        <v>0</v>
      </c>
      <c r="I1503" s="662">
        <v>0</v>
      </c>
      <c r="J1503" s="662">
        <v>30497.36279117316</v>
      </c>
      <c r="K1503" s="568" t="s">
        <v>4836</v>
      </c>
      <c r="L1503" s="549"/>
      <c r="M1503" s="540"/>
      <c r="O1503" s="540"/>
      <c r="S1503" s="550"/>
      <c r="T1503" s="547"/>
      <c r="U1503" s="547"/>
      <c r="V1503" s="547"/>
      <c r="W1503" s="549"/>
    </row>
    <row r="1504" spans="1:23">
      <c r="A1504" s="565">
        <v>2198</v>
      </c>
      <c r="B1504" s="695" t="s">
        <v>6910</v>
      </c>
      <c r="C1504" s="566">
        <f t="shared" si="23"/>
        <v>2198</v>
      </c>
      <c r="D1504" s="699" t="s">
        <v>2236</v>
      </c>
      <c r="E1504" s="701" t="s">
        <v>9379</v>
      </c>
      <c r="F1504" s="567">
        <v>1</v>
      </c>
      <c r="G1504" s="662">
        <v>0</v>
      </c>
      <c r="H1504" s="662">
        <v>0</v>
      </c>
      <c r="I1504" s="662">
        <v>0</v>
      </c>
      <c r="J1504" s="662">
        <v>28201.873343704385</v>
      </c>
      <c r="K1504" s="568" t="s">
        <v>4837</v>
      </c>
      <c r="L1504" s="549"/>
      <c r="M1504" s="540"/>
      <c r="O1504" s="540"/>
      <c r="S1504" s="550"/>
      <c r="T1504" s="547"/>
      <c r="U1504" s="547"/>
      <c r="V1504" s="547"/>
      <c r="W1504" s="549"/>
    </row>
    <row r="1505" spans="1:23">
      <c r="A1505" s="565">
        <v>2199</v>
      </c>
      <c r="B1505" s="695" t="s">
        <v>6911</v>
      </c>
      <c r="C1505" s="566">
        <f t="shared" si="23"/>
        <v>2199</v>
      </c>
      <c r="D1505" s="699" t="s">
        <v>2236</v>
      </c>
      <c r="E1505" s="701" t="s">
        <v>9380</v>
      </c>
      <c r="F1505" s="567">
        <v>1</v>
      </c>
      <c r="G1505" s="662">
        <v>0</v>
      </c>
      <c r="H1505" s="662">
        <v>0</v>
      </c>
      <c r="I1505" s="662">
        <v>0</v>
      </c>
      <c r="J1505" s="662">
        <v>30497.36279117316</v>
      </c>
      <c r="K1505" s="568" t="s">
        <v>4838</v>
      </c>
      <c r="L1505" s="549"/>
      <c r="M1505" s="540"/>
      <c r="O1505" s="540"/>
      <c r="S1505" s="550"/>
      <c r="T1505" s="547"/>
      <c r="U1505" s="547"/>
      <c r="V1505" s="547"/>
      <c r="W1505" s="549"/>
    </row>
    <row r="1506" spans="1:23">
      <c r="A1506" s="565">
        <v>2200</v>
      </c>
      <c r="B1506" s="695" t="s">
        <v>6912</v>
      </c>
      <c r="C1506" s="566">
        <f t="shared" si="23"/>
        <v>2200</v>
      </c>
      <c r="D1506" s="699" t="s">
        <v>2236</v>
      </c>
      <c r="E1506" s="701" t="s">
        <v>9381</v>
      </c>
      <c r="F1506" s="567">
        <v>1</v>
      </c>
      <c r="G1506" s="662">
        <v>0</v>
      </c>
      <c r="H1506" s="662">
        <v>0</v>
      </c>
      <c r="I1506" s="662">
        <v>0</v>
      </c>
      <c r="J1506" s="662">
        <v>25799.022474416353</v>
      </c>
      <c r="K1506" s="568" t="s">
        <v>4839</v>
      </c>
      <c r="L1506" s="549"/>
      <c r="M1506" s="540"/>
      <c r="O1506" s="540"/>
      <c r="S1506" s="550"/>
      <c r="T1506" s="547"/>
      <c r="U1506" s="547"/>
      <c r="V1506" s="547"/>
      <c r="W1506" s="549"/>
    </row>
    <row r="1507" spans="1:23">
      <c r="A1507" s="565">
        <v>2201</v>
      </c>
      <c r="B1507" s="696" t="s">
        <v>6913</v>
      </c>
      <c r="C1507" s="566">
        <f t="shared" si="23"/>
        <v>2201</v>
      </c>
      <c r="D1507" s="700" t="s">
        <v>2236</v>
      </c>
      <c r="E1507" s="701" t="s">
        <v>9382</v>
      </c>
      <c r="F1507" s="566">
        <v>1</v>
      </c>
      <c r="G1507" s="662">
        <v>0</v>
      </c>
      <c r="H1507" s="662">
        <v>0</v>
      </c>
      <c r="I1507" s="662">
        <v>0</v>
      </c>
      <c r="J1507" s="662">
        <v>27327.644623176191</v>
      </c>
      <c r="K1507" s="566" t="s">
        <v>4840</v>
      </c>
      <c r="L1507" s="549"/>
      <c r="M1507" s="540"/>
      <c r="O1507" s="540"/>
      <c r="S1507" s="550"/>
      <c r="T1507" s="547"/>
      <c r="U1507" s="547"/>
      <c r="V1507" s="547"/>
      <c r="W1507" s="549"/>
    </row>
    <row r="1508" spans="1:23">
      <c r="A1508" s="565">
        <v>2202</v>
      </c>
      <c r="B1508" s="696" t="s">
        <v>6914</v>
      </c>
      <c r="C1508" s="566">
        <f t="shared" si="23"/>
        <v>2202</v>
      </c>
      <c r="D1508" s="700" t="s">
        <v>2236</v>
      </c>
      <c r="E1508" s="701" t="s">
        <v>9383</v>
      </c>
      <c r="F1508" s="566">
        <v>1</v>
      </c>
      <c r="G1508" s="662">
        <v>0</v>
      </c>
      <c r="H1508" s="662">
        <v>0</v>
      </c>
      <c r="I1508" s="662">
        <v>0</v>
      </c>
      <c r="J1508" s="662">
        <v>33109.824055441648</v>
      </c>
      <c r="K1508" s="566" t="s">
        <v>4841</v>
      </c>
      <c r="L1508" s="549"/>
      <c r="M1508" s="540"/>
      <c r="O1508" s="540"/>
      <c r="S1508" s="550"/>
      <c r="T1508" s="547"/>
      <c r="U1508" s="547"/>
      <c r="V1508" s="547"/>
      <c r="W1508" s="549"/>
    </row>
    <row r="1509" spans="1:23">
      <c r="A1509" s="565">
        <v>2203</v>
      </c>
      <c r="B1509" s="696" t="s">
        <v>6915</v>
      </c>
      <c r="C1509" s="566">
        <f t="shared" si="23"/>
        <v>2203</v>
      </c>
      <c r="D1509" s="700" t="s">
        <v>2236</v>
      </c>
      <c r="E1509" s="701" t="s">
        <v>9384</v>
      </c>
      <c r="F1509" s="566">
        <v>1</v>
      </c>
      <c r="G1509" s="662">
        <v>0</v>
      </c>
      <c r="H1509" s="662">
        <v>0</v>
      </c>
      <c r="I1509" s="662">
        <v>0</v>
      </c>
      <c r="J1509" s="662">
        <v>34638.446204201471</v>
      </c>
      <c r="K1509" s="566" t="s">
        <v>4842</v>
      </c>
      <c r="L1509" s="549"/>
      <c r="M1509" s="540"/>
      <c r="O1509" s="540"/>
      <c r="S1509" s="550"/>
      <c r="T1509" s="547"/>
      <c r="U1509" s="547"/>
      <c r="V1509" s="547"/>
      <c r="W1509" s="549"/>
    </row>
    <row r="1510" spans="1:23">
      <c r="A1510" s="565">
        <v>2204</v>
      </c>
      <c r="B1510" s="696" t="s">
        <v>6916</v>
      </c>
      <c r="C1510" s="566">
        <f t="shared" si="23"/>
        <v>2204</v>
      </c>
      <c r="D1510" s="700" t="s">
        <v>2236</v>
      </c>
      <c r="E1510" s="701" t="s">
        <v>9385</v>
      </c>
      <c r="F1510" s="566">
        <v>1</v>
      </c>
      <c r="G1510" s="662">
        <v>0</v>
      </c>
      <c r="H1510" s="662">
        <v>0</v>
      </c>
      <c r="I1510" s="662">
        <v>0</v>
      </c>
      <c r="J1510" s="662">
        <v>35410.42595156849</v>
      </c>
      <c r="K1510" s="566" t="s">
        <v>4843</v>
      </c>
      <c r="L1510" s="549"/>
      <c r="M1510" s="540"/>
      <c r="O1510" s="540"/>
      <c r="S1510" s="550"/>
      <c r="T1510" s="547"/>
      <c r="U1510" s="547"/>
      <c r="V1510" s="547"/>
      <c r="W1510" s="549"/>
    </row>
    <row r="1511" spans="1:23">
      <c r="A1511" s="565">
        <v>2205</v>
      </c>
      <c r="B1511" s="696" t="s">
        <v>6917</v>
      </c>
      <c r="C1511" s="566">
        <f t="shared" si="23"/>
        <v>2205</v>
      </c>
      <c r="D1511" s="700" t="s">
        <v>2236</v>
      </c>
      <c r="E1511" s="701" t="s">
        <v>9386</v>
      </c>
      <c r="F1511" s="566">
        <v>1</v>
      </c>
      <c r="G1511" s="662">
        <v>0</v>
      </c>
      <c r="H1511" s="662">
        <v>0</v>
      </c>
      <c r="I1511" s="662">
        <v>0</v>
      </c>
      <c r="J1511" s="662">
        <v>54689.469841111437</v>
      </c>
      <c r="K1511" s="566" t="s">
        <v>4844</v>
      </c>
      <c r="L1511" s="549"/>
      <c r="M1511" s="540"/>
      <c r="O1511" s="540"/>
      <c r="S1511" s="550"/>
      <c r="T1511" s="547"/>
      <c r="U1511" s="547"/>
      <c r="V1511" s="547"/>
      <c r="W1511" s="549"/>
    </row>
    <row r="1512" spans="1:23">
      <c r="A1512" s="565">
        <v>2206</v>
      </c>
      <c r="B1512" s="696" t="s">
        <v>6918</v>
      </c>
      <c r="C1512" s="566">
        <f t="shared" si="23"/>
        <v>2206</v>
      </c>
      <c r="D1512" s="700" t="s">
        <v>2236</v>
      </c>
      <c r="E1512" s="701" t="s">
        <v>9387</v>
      </c>
      <c r="F1512" s="566">
        <v>1</v>
      </c>
      <c r="G1512" s="662">
        <v>29888.981400864071</v>
      </c>
      <c r="H1512" s="662">
        <v>31031.67043677577</v>
      </c>
      <c r="I1512" s="662">
        <v>32174.359472687469</v>
      </c>
      <c r="J1512" s="662">
        <v>33377.198948311365</v>
      </c>
      <c r="K1512" s="566" t="s">
        <v>2097</v>
      </c>
      <c r="L1512" s="549"/>
      <c r="M1512" s="540"/>
      <c r="O1512" s="540"/>
      <c r="S1512" s="550"/>
      <c r="T1512" s="547"/>
      <c r="U1512" s="547"/>
      <c r="V1512" s="547"/>
      <c r="W1512" s="549"/>
    </row>
    <row r="1513" spans="1:23">
      <c r="A1513" s="565">
        <v>2207</v>
      </c>
      <c r="B1513" s="695" t="s">
        <v>6919</v>
      </c>
      <c r="C1513" s="566">
        <f t="shared" si="23"/>
        <v>2207</v>
      </c>
      <c r="D1513" s="699" t="s">
        <v>2236</v>
      </c>
      <c r="E1513" s="701" t="s">
        <v>9388</v>
      </c>
      <c r="F1513" s="567">
        <v>1</v>
      </c>
      <c r="G1513" s="662">
        <v>31115.969078798378</v>
      </c>
      <c r="H1513" s="662">
        <v>0</v>
      </c>
      <c r="I1513" s="662">
        <v>0</v>
      </c>
      <c r="J1513" s="662">
        <v>0</v>
      </c>
      <c r="K1513" s="568" t="s">
        <v>5299</v>
      </c>
      <c r="L1513" s="549"/>
      <c r="M1513" s="540"/>
      <c r="O1513" s="540"/>
      <c r="S1513" s="550"/>
      <c r="T1513" s="547"/>
      <c r="U1513" s="547"/>
      <c r="V1513" s="547"/>
      <c r="W1513" s="549"/>
    </row>
    <row r="1514" spans="1:23">
      <c r="A1514" s="565">
        <v>2208</v>
      </c>
      <c r="B1514" s="696" t="s">
        <v>6920</v>
      </c>
      <c r="C1514" s="566">
        <f t="shared" si="23"/>
        <v>2208</v>
      </c>
      <c r="D1514" s="700" t="s">
        <v>2236</v>
      </c>
      <c r="E1514" s="701" t="s">
        <v>9389</v>
      </c>
      <c r="F1514" s="566">
        <v>1</v>
      </c>
      <c r="G1514" s="662">
        <v>35512.674924729676</v>
      </c>
      <c r="H1514" s="662">
        <v>36815.751023322227</v>
      </c>
      <c r="I1514" s="662">
        <v>38187.443492620951</v>
      </c>
      <c r="J1514" s="662">
        <v>39631.308023643294</v>
      </c>
      <c r="K1514" s="566" t="s">
        <v>2098</v>
      </c>
      <c r="L1514" s="549"/>
      <c r="M1514" s="540"/>
      <c r="O1514" s="540"/>
      <c r="S1514" s="550"/>
      <c r="T1514" s="547"/>
      <c r="U1514" s="547"/>
      <c r="V1514" s="547"/>
      <c r="W1514" s="549"/>
    </row>
    <row r="1515" spans="1:23">
      <c r="A1515" s="565">
        <v>2209</v>
      </c>
      <c r="B1515" s="696" t="s">
        <v>6921</v>
      </c>
      <c r="C1515" s="566">
        <f t="shared" si="23"/>
        <v>2209</v>
      </c>
      <c r="D1515" s="700" t="s">
        <v>2236</v>
      </c>
      <c r="E1515" s="701" t="s">
        <v>9390</v>
      </c>
      <c r="F1515" s="566">
        <v>1</v>
      </c>
      <c r="G1515" s="662">
        <v>33337.025993878051</v>
      </c>
      <c r="H1515" s="662">
        <v>34141.038625397858</v>
      </c>
      <c r="I1515" s="662">
        <v>34987.378060692565</v>
      </c>
      <c r="J1515" s="662">
        <v>35878.256502050077</v>
      </c>
      <c r="K1515" s="566" t="s">
        <v>2099</v>
      </c>
      <c r="L1515" s="549"/>
      <c r="M1515" s="540"/>
      <c r="O1515" s="540"/>
      <c r="S1515" s="550"/>
      <c r="T1515" s="547"/>
      <c r="U1515" s="547"/>
      <c r="V1515" s="547"/>
      <c r="W1515" s="549"/>
    </row>
    <row r="1516" spans="1:23">
      <c r="A1516" s="565">
        <v>2210</v>
      </c>
      <c r="B1516" s="695" t="s">
        <v>6922</v>
      </c>
      <c r="C1516" s="566">
        <f t="shared" si="23"/>
        <v>2210</v>
      </c>
      <c r="D1516" s="699" t="s">
        <v>2236</v>
      </c>
      <c r="E1516" s="701" t="s">
        <v>9391</v>
      </c>
      <c r="F1516" s="567">
        <v>1</v>
      </c>
      <c r="G1516" s="662">
        <v>38183.410895709188</v>
      </c>
      <c r="H1516" s="662">
        <v>39628.079690175968</v>
      </c>
      <c r="I1516" s="662">
        <v>41148.772544968633</v>
      </c>
      <c r="J1516" s="662">
        <v>42749.510777309319</v>
      </c>
      <c r="K1516" s="568" t="s">
        <v>2100</v>
      </c>
      <c r="L1516" s="549"/>
      <c r="M1516" s="540"/>
      <c r="O1516" s="540"/>
      <c r="S1516" s="550"/>
      <c r="T1516" s="547"/>
      <c r="U1516" s="547"/>
      <c r="V1516" s="547"/>
      <c r="W1516" s="549"/>
    </row>
    <row r="1517" spans="1:23">
      <c r="A1517" s="565">
        <v>2211</v>
      </c>
      <c r="B1517" s="695" t="s">
        <v>6923</v>
      </c>
      <c r="C1517" s="566">
        <f t="shared" si="23"/>
        <v>2211</v>
      </c>
      <c r="D1517" s="699" t="s">
        <v>2236</v>
      </c>
      <c r="E1517" s="701" t="s">
        <v>9392</v>
      </c>
      <c r="F1517" s="567">
        <v>1</v>
      </c>
      <c r="G1517" s="662">
        <v>43186.460360477213</v>
      </c>
      <c r="H1517" s="662">
        <v>44790.50030590556</v>
      </c>
      <c r="I1517" s="662">
        <v>46479.030242653767</v>
      </c>
      <c r="J1517" s="662">
        <v>48256.410125183735</v>
      </c>
      <c r="K1517" s="568" t="s">
        <v>3166</v>
      </c>
      <c r="L1517" s="549"/>
      <c r="M1517" s="540"/>
      <c r="O1517" s="540"/>
      <c r="S1517" s="550"/>
      <c r="T1517" s="547"/>
      <c r="U1517" s="547"/>
      <c r="V1517" s="547"/>
      <c r="W1517" s="549"/>
    </row>
    <row r="1518" spans="1:23">
      <c r="A1518" s="565">
        <v>2212</v>
      </c>
      <c r="B1518" s="695" t="s">
        <v>6924</v>
      </c>
      <c r="C1518" s="566">
        <f t="shared" si="23"/>
        <v>2212</v>
      </c>
      <c r="D1518" s="699" t="s">
        <v>2236</v>
      </c>
      <c r="E1518" s="701" t="s">
        <v>9393</v>
      </c>
      <c r="F1518" s="567">
        <v>1</v>
      </c>
      <c r="G1518" s="662">
        <v>0</v>
      </c>
      <c r="H1518" s="662">
        <v>55093.574714906455</v>
      </c>
      <c r="I1518" s="662">
        <v>57164.637743617415</v>
      </c>
      <c r="J1518" s="662">
        <v>59344.699633875789</v>
      </c>
      <c r="K1518" s="568" t="s">
        <v>3167</v>
      </c>
      <c r="L1518" s="549"/>
      <c r="M1518" s="540"/>
      <c r="O1518" s="540"/>
      <c r="S1518" s="550"/>
      <c r="T1518" s="547"/>
      <c r="U1518" s="547"/>
      <c r="V1518" s="547"/>
      <c r="W1518" s="549"/>
    </row>
    <row r="1519" spans="1:23">
      <c r="A1519" s="565">
        <v>2213</v>
      </c>
      <c r="B1519" s="695" t="s">
        <v>6925</v>
      </c>
      <c r="C1519" s="566">
        <f t="shared" si="23"/>
        <v>2213</v>
      </c>
      <c r="D1519" s="699" t="s">
        <v>2236</v>
      </c>
      <c r="E1519" s="701" t="s">
        <v>9394</v>
      </c>
      <c r="F1519" s="567">
        <v>1</v>
      </c>
      <c r="G1519" s="662">
        <v>45991.710277670369</v>
      </c>
      <c r="H1519" s="662">
        <v>0</v>
      </c>
      <c r="I1519" s="662">
        <v>0</v>
      </c>
      <c r="J1519" s="662">
        <v>0</v>
      </c>
      <c r="K1519" s="568" t="s">
        <v>5300</v>
      </c>
      <c r="L1519" s="549"/>
      <c r="M1519" s="540"/>
      <c r="O1519" s="540"/>
      <c r="S1519" s="550"/>
      <c r="T1519" s="547"/>
      <c r="U1519" s="547"/>
      <c r="V1519" s="547"/>
      <c r="W1519" s="549"/>
    </row>
    <row r="1520" spans="1:23">
      <c r="A1520" s="565">
        <v>2214</v>
      </c>
      <c r="B1520" s="695" t="s">
        <v>6926</v>
      </c>
      <c r="C1520" s="566">
        <f t="shared" si="23"/>
        <v>2214</v>
      </c>
      <c r="D1520" s="699" t="s">
        <v>2236</v>
      </c>
      <c r="E1520" s="701" t="s">
        <v>9395</v>
      </c>
      <c r="F1520" s="567">
        <v>1</v>
      </c>
      <c r="G1520" s="662">
        <v>56018.082611249862</v>
      </c>
      <c r="H1520" s="662">
        <v>58055.827155689491</v>
      </c>
      <c r="I1520" s="662">
        <v>60200.863674529079</v>
      </c>
      <c r="J1520" s="662">
        <v>62458.774715260544</v>
      </c>
      <c r="K1520" s="568" t="s">
        <v>3168</v>
      </c>
      <c r="L1520" s="549"/>
      <c r="M1520" s="540"/>
      <c r="O1520" s="540"/>
      <c r="S1520" s="550"/>
      <c r="T1520" s="547"/>
      <c r="U1520" s="547"/>
      <c r="V1520" s="547"/>
      <c r="W1520" s="549"/>
    </row>
    <row r="1521" spans="1:23">
      <c r="A1521" s="565">
        <v>2215</v>
      </c>
      <c r="B1521" s="696" t="s">
        <v>6927</v>
      </c>
      <c r="C1521" s="566">
        <f t="shared" si="23"/>
        <v>2215</v>
      </c>
      <c r="D1521" s="700" t="s">
        <v>2236</v>
      </c>
      <c r="E1521" s="701" t="s">
        <v>9396</v>
      </c>
      <c r="F1521" s="566">
        <v>1</v>
      </c>
      <c r="G1521" s="662">
        <v>43886.246006164918</v>
      </c>
      <c r="H1521" s="662">
        <v>45620.78827786538</v>
      </c>
      <c r="I1521" s="662">
        <v>0</v>
      </c>
      <c r="J1521" s="662">
        <v>0</v>
      </c>
      <c r="K1521" s="566" t="s">
        <v>2101</v>
      </c>
      <c r="L1521" s="549"/>
      <c r="M1521" s="540"/>
      <c r="O1521" s="540"/>
      <c r="S1521" s="550"/>
      <c r="T1521" s="547"/>
      <c r="U1521" s="547"/>
      <c r="V1521" s="547"/>
      <c r="W1521" s="549"/>
    </row>
    <row r="1522" spans="1:23">
      <c r="A1522" s="565">
        <v>2216</v>
      </c>
      <c r="B1522" s="695" t="s">
        <v>6928</v>
      </c>
      <c r="C1522" s="566">
        <f t="shared" si="23"/>
        <v>2216</v>
      </c>
      <c r="D1522" s="699" t="s">
        <v>2236</v>
      </c>
      <c r="E1522" s="701" t="s">
        <v>9397</v>
      </c>
      <c r="F1522" s="567">
        <v>1</v>
      </c>
      <c r="G1522" s="662">
        <v>75257.302276793795</v>
      </c>
      <c r="H1522" s="662">
        <v>0</v>
      </c>
      <c r="I1522" s="662">
        <v>0</v>
      </c>
      <c r="J1522" s="662">
        <v>0</v>
      </c>
      <c r="K1522" s="568" t="s">
        <v>5301</v>
      </c>
      <c r="L1522" s="549"/>
      <c r="M1522" s="540"/>
      <c r="O1522" s="540"/>
      <c r="S1522" s="550"/>
      <c r="T1522" s="547"/>
      <c r="U1522" s="547"/>
      <c r="V1522" s="547"/>
      <c r="W1522" s="549"/>
    </row>
    <row r="1523" spans="1:23">
      <c r="A1523" s="565">
        <v>2217</v>
      </c>
      <c r="B1523" s="696" t="s">
        <v>6929</v>
      </c>
      <c r="C1523" s="566">
        <f t="shared" si="23"/>
        <v>2217</v>
      </c>
      <c r="D1523" s="700" t="s">
        <v>2236</v>
      </c>
      <c r="E1523" s="701" t="s">
        <v>9398</v>
      </c>
      <c r="F1523" s="566">
        <v>1</v>
      </c>
      <c r="G1523" s="662">
        <v>0</v>
      </c>
      <c r="H1523" s="662">
        <v>0</v>
      </c>
      <c r="I1523" s="662">
        <v>284721.63580689888</v>
      </c>
      <c r="J1523" s="662">
        <v>291863.43121385307</v>
      </c>
      <c r="K1523" s="566" t="s">
        <v>4104</v>
      </c>
      <c r="L1523" s="549"/>
      <c r="M1523" s="540"/>
      <c r="O1523" s="540"/>
      <c r="S1523" s="550"/>
      <c r="T1523" s="547"/>
      <c r="U1523" s="547"/>
      <c r="V1523" s="547"/>
      <c r="W1523" s="549"/>
    </row>
    <row r="1524" spans="1:23">
      <c r="A1524" s="565">
        <v>2218</v>
      </c>
      <c r="B1524" s="696" t="s">
        <v>6930</v>
      </c>
      <c r="C1524" s="566">
        <f t="shared" si="23"/>
        <v>2218</v>
      </c>
      <c r="D1524" s="700" t="s">
        <v>2236</v>
      </c>
      <c r="E1524" s="701" t="s">
        <v>9399</v>
      </c>
      <c r="F1524" s="566">
        <v>1</v>
      </c>
      <c r="G1524" s="662">
        <v>85373.367533649958</v>
      </c>
      <c r="H1524" s="662">
        <v>0</v>
      </c>
      <c r="I1524" s="662">
        <v>0</v>
      </c>
      <c r="J1524" s="662">
        <v>0</v>
      </c>
      <c r="K1524" s="566" t="s">
        <v>5302</v>
      </c>
      <c r="L1524" s="549"/>
      <c r="M1524" s="540"/>
      <c r="O1524" s="540"/>
      <c r="S1524" s="550"/>
      <c r="T1524" s="547"/>
      <c r="U1524" s="547"/>
      <c r="V1524" s="547"/>
      <c r="W1524" s="549"/>
    </row>
    <row r="1525" spans="1:23">
      <c r="A1525" s="565">
        <v>2219</v>
      </c>
      <c r="B1525" s="695" t="s">
        <v>6931</v>
      </c>
      <c r="C1525" s="566">
        <f t="shared" si="23"/>
        <v>2219</v>
      </c>
      <c r="D1525" s="699" t="s">
        <v>2236</v>
      </c>
      <c r="E1525" s="701" t="s">
        <v>9400</v>
      </c>
      <c r="F1525" s="567">
        <v>1</v>
      </c>
      <c r="G1525" s="662">
        <v>0</v>
      </c>
      <c r="H1525" s="662">
        <v>29712.756107108333</v>
      </c>
      <c r="I1525" s="662">
        <v>30434.335193740491</v>
      </c>
      <c r="J1525" s="662">
        <v>31193.897695636719</v>
      </c>
      <c r="K1525" s="568" t="s">
        <v>3169</v>
      </c>
      <c r="L1525" s="549"/>
      <c r="M1525" s="540"/>
      <c r="O1525" s="540"/>
      <c r="S1525" s="550"/>
      <c r="T1525" s="547"/>
      <c r="U1525" s="547"/>
      <c r="V1525" s="547"/>
      <c r="W1525" s="549"/>
    </row>
    <row r="1526" spans="1:23">
      <c r="A1526" s="565">
        <v>2220</v>
      </c>
      <c r="B1526" s="695" t="s">
        <v>6932</v>
      </c>
      <c r="C1526" s="566">
        <f t="shared" si="23"/>
        <v>2220</v>
      </c>
      <c r="D1526" s="699" t="s">
        <v>2236</v>
      </c>
      <c r="E1526" s="701" t="s">
        <v>9401</v>
      </c>
      <c r="F1526" s="567">
        <v>1</v>
      </c>
      <c r="G1526" s="662">
        <v>25769.053490700502</v>
      </c>
      <c r="H1526" s="662">
        <v>0</v>
      </c>
      <c r="I1526" s="662">
        <v>0</v>
      </c>
      <c r="J1526" s="662">
        <v>0</v>
      </c>
      <c r="K1526" s="568" t="s">
        <v>5303</v>
      </c>
      <c r="L1526" s="549"/>
      <c r="M1526" s="540"/>
      <c r="O1526" s="540"/>
      <c r="S1526" s="550"/>
      <c r="T1526" s="547"/>
      <c r="U1526" s="547"/>
      <c r="V1526" s="547"/>
      <c r="W1526" s="549"/>
    </row>
    <row r="1527" spans="1:23">
      <c r="A1527" s="565">
        <v>2221</v>
      </c>
      <c r="B1527" s="696" t="s">
        <v>6933</v>
      </c>
      <c r="C1527" s="566">
        <f t="shared" si="23"/>
        <v>2221</v>
      </c>
      <c r="D1527" s="700" t="s">
        <v>2236</v>
      </c>
      <c r="E1527" s="701" t="s">
        <v>9402</v>
      </c>
      <c r="F1527" s="566">
        <v>1</v>
      </c>
      <c r="G1527" s="662">
        <v>24396.596687983885</v>
      </c>
      <c r="H1527" s="662">
        <v>0</v>
      </c>
      <c r="I1527" s="662">
        <v>0</v>
      </c>
      <c r="J1527" s="662">
        <v>0</v>
      </c>
      <c r="K1527" s="566" t="s">
        <v>5304</v>
      </c>
      <c r="L1527" s="549"/>
      <c r="M1527" s="540"/>
      <c r="O1527" s="540"/>
      <c r="S1527" s="550"/>
      <c r="T1527" s="547"/>
      <c r="U1527" s="547"/>
      <c r="V1527" s="547"/>
      <c r="W1527" s="549"/>
    </row>
    <row r="1528" spans="1:23">
      <c r="A1528" s="565">
        <v>2222</v>
      </c>
      <c r="B1528" s="696" t="s">
        <v>6934</v>
      </c>
      <c r="C1528" s="566">
        <f t="shared" si="23"/>
        <v>2222</v>
      </c>
      <c r="D1528" s="700" t="s">
        <v>2236</v>
      </c>
      <c r="E1528" s="701" t="s">
        <v>9403</v>
      </c>
      <c r="F1528" s="566">
        <v>1</v>
      </c>
      <c r="G1528" s="662">
        <v>42298.626923040465</v>
      </c>
      <c r="H1528" s="662">
        <v>0</v>
      </c>
      <c r="I1528" s="662">
        <v>0</v>
      </c>
      <c r="J1528" s="662">
        <v>0</v>
      </c>
      <c r="K1528" s="566" t="s">
        <v>5305</v>
      </c>
      <c r="L1528" s="549"/>
      <c r="M1528" s="540"/>
      <c r="O1528" s="540"/>
      <c r="S1528" s="550"/>
      <c r="T1528" s="547"/>
      <c r="U1528" s="547"/>
      <c r="V1528" s="547"/>
      <c r="W1528" s="549"/>
    </row>
    <row r="1529" spans="1:23">
      <c r="A1529" s="565">
        <v>2223</v>
      </c>
      <c r="B1529" s="696" t="s">
        <v>6935</v>
      </c>
      <c r="C1529" s="566">
        <f t="shared" si="23"/>
        <v>2223</v>
      </c>
      <c r="D1529" s="700" t="s">
        <v>2236</v>
      </c>
      <c r="E1529" s="701" t="s">
        <v>9404</v>
      </c>
      <c r="F1529" s="566">
        <v>1</v>
      </c>
      <c r="G1529" s="662">
        <v>0</v>
      </c>
      <c r="H1529" s="662">
        <v>45931.484741046574</v>
      </c>
      <c r="I1529" s="662">
        <v>49455.04755039372</v>
      </c>
      <c r="J1529" s="662">
        <v>51309.552064278803</v>
      </c>
      <c r="K1529" s="566" t="s">
        <v>4105</v>
      </c>
      <c r="L1529" s="549"/>
      <c r="M1529" s="540"/>
      <c r="O1529" s="540"/>
      <c r="S1529" s="550"/>
      <c r="T1529" s="547"/>
      <c r="U1529" s="547"/>
      <c r="V1529" s="547"/>
      <c r="W1529" s="549"/>
    </row>
    <row r="1530" spans="1:23">
      <c r="A1530" s="565">
        <v>2224</v>
      </c>
      <c r="B1530" s="696" t="s">
        <v>6936</v>
      </c>
      <c r="C1530" s="566">
        <f t="shared" si="23"/>
        <v>2224</v>
      </c>
      <c r="D1530" s="700" t="s">
        <v>2236</v>
      </c>
      <c r="E1530" s="701" t="s">
        <v>9405</v>
      </c>
      <c r="F1530" s="566">
        <v>1</v>
      </c>
      <c r="G1530" s="662">
        <v>66064.685244992972</v>
      </c>
      <c r="H1530" s="662">
        <v>0</v>
      </c>
      <c r="I1530" s="662">
        <v>0</v>
      </c>
      <c r="J1530" s="662">
        <v>0</v>
      </c>
      <c r="K1530" s="566" t="s">
        <v>5306</v>
      </c>
      <c r="L1530" s="549"/>
      <c r="M1530" s="540"/>
      <c r="O1530" s="540"/>
      <c r="S1530" s="550"/>
      <c r="T1530" s="547"/>
      <c r="U1530" s="547"/>
      <c r="V1530" s="547"/>
      <c r="W1530" s="549"/>
    </row>
    <row r="1531" spans="1:23">
      <c r="A1531" s="565">
        <v>2225</v>
      </c>
      <c r="B1531" s="696" t="s">
        <v>6937</v>
      </c>
      <c r="C1531" s="566">
        <f t="shared" si="23"/>
        <v>2225</v>
      </c>
      <c r="D1531" s="700" t="s">
        <v>2236</v>
      </c>
      <c r="E1531" s="701" t="s">
        <v>9406</v>
      </c>
      <c r="F1531" s="566">
        <v>1</v>
      </c>
      <c r="G1531" s="662">
        <v>69122.744553334473</v>
      </c>
      <c r="H1531" s="662">
        <v>0</v>
      </c>
      <c r="I1531" s="662">
        <v>0</v>
      </c>
      <c r="J1531" s="662">
        <v>0</v>
      </c>
      <c r="K1531" s="566" t="s">
        <v>5307</v>
      </c>
      <c r="L1531" s="549"/>
      <c r="M1531" s="540"/>
      <c r="O1531" s="540"/>
      <c r="S1531" s="550"/>
      <c r="T1531" s="547"/>
      <c r="U1531" s="547"/>
      <c r="V1531" s="547"/>
      <c r="W1531" s="549"/>
    </row>
    <row r="1532" spans="1:23">
      <c r="A1532" s="565">
        <v>2226</v>
      </c>
      <c r="B1532" s="696" t="s">
        <v>6938</v>
      </c>
      <c r="C1532" s="566">
        <f t="shared" si="23"/>
        <v>2226</v>
      </c>
      <c r="D1532" s="700" t="s">
        <v>2236</v>
      </c>
      <c r="E1532" s="701" t="s">
        <v>9407</v>
      </c>
      <c r="F1532" s="566">
        <v>1</v>
      </c>
      <c r="G1532" s="662">
        <v>0</v>
      </c>
      <c r="H1532" s="662">
        <v>0</v>
      </c>
      <c r="I1532" s="662">
        <v>0</v>
      </c>
      <c r="J1532" s="662">
        <v>191520.26645154911</v>
      </c>
      <c r="K1532" s="566" t="s">
        <v>4845</v>
      </c>
      <c r="L1532" s="549"/>
      <c r="M1532" s="540"/>
      <c r="O1532" s="540"/>
      <c r="S1532" s="550"/>
      <c r="T1532" s="547"/>
      <c r="U1532" s="547"/>
      <c r="V1532" s="547"/>
      <c r="W1532" s="549"/>
    </row>
    <row r="1533" spans="1:23">
      <c r="A1533" s="565">
        <v>2227</v>
      </c>
      <c r="B1533" s="696" t="s">
        <v>6939</v>
      </c>
      <c r="C1533" s="566">
        <f t="shared" si="23"/>
        <v>2227</v>
      </c>
      <c r="D1533" s="700" t="s">
        <v>2236</v>
      </c>
      <c r="E1533" s="701" t="s">
        <v>9408</v>
      </c>
      <c r="F1533" s="566">
        <v>1</v>
      </c>
      <c r="G1533" s="662">
        <v>0</v>
      </c>
      <c r="H1533" s="662">
        <v>16089.839945655254</v>
      </c>
      <c r="I1533" s="662">
        <v>16635.765505801701</v>
      </c>
      <c r="J1533" s="662">
        <v>17210.432901672684</v>
      </c>
      <c r="K1533" s="566" t="s">
        <v>3170</v>
      </c>
      <c r="L1533" s="549"/>
      <c r="M1533" s="540"/>
      <c r="O1533" s="540"/>
      <c r="S1533" s="550"/>
      <c r="T1533" s="547"/>
      <c r="U1533" s="547"/>
      <c r="V1533" s="547"/>
      <c r="W1533" s="549"/>
    </row>
    <row r="1534" spans="1:23">
      <c r="A1534" s="565">
        <v>2228</v>
      </c>
      <c r="B1534" s="696" t="s">
        <v>6940</v>
      </c>
      <c r="C1534" s="566">
        <f t="shared" si="23"/>
        <v>2228</v>
      </c>
      <c r="D1534" s="700" t="s">
        <v>2236</v>
      </c>
      <c r="E1534" s="701" t="s">
        <v>9409</v>
      </c>
      <c r="F1534" s="566">
        <v>1</v>
      </c>
      <c r="G1534" s="662">
        <v>0</v>
      </c>
      <c r="H1534" s="662">
        <v>0</v>
      </c>
      <c r="I1534" s="662">
        <v>0</v>
      </c>
      <c r="J1534" s="662">
        <v>15764.010893780622</v>
      </c>
      <c r="K1534" s="566" t="s">
        <v>4846</v>
      </c>
      <c r="L1534" s="549"/>
      <c r="M1534" s="540"/>
      <c r="O1534" s="540"/>
      <c r="S1534" s="550"/>
      <c r="T1534" s="547"/>
      <c r="U1534" s="547"/>
      <c r="V1534" s="547"/>
      <c r="W1534" s="549"/>
    </row>
    <row r="1535" spans="1:23">
      <c r="A1535" s="565">
        <v>2229</v>
      </c>
      <c r="B1535" s="695" t="s">
        <v>6941</v>
      </c>
      <c r="C1535" s="566">
        <f t="shared" si="23"/>
        <v>2229</v>
      </c>
      <c r="D1535" s="699" t="s">
        <v>2236</v>
      </c>
      <c r="E1535" s="701" t="s">
        <v>9410</v>
      </c>
      <c r="F1535" s="567">
        <v>1</v>
      </c>
      <c r="G1535" s="662">
        <v>12040.243617433189</v>
      </c>
      <c r="H1535" s="662">
        <v>12437.465099670466</v>
      </c>
      <c r="I1535" s="662">
        <v>14760.050938212396</v>
      </c>
      <c r="J1535" s="662">
        <v>15300.431313557789</v>
      </c>
      <c r="K1535" s="568" t="s">
        <v>2102</v>
      </c>
      <c r="L1535" s="549"/>
      <c r="M1535" s="540"/>
      <c r="O1535" s="540"/>
      <c r="S1535" s="550"/>
      <c r="T1535" s="547"/>
      <c r="U1535" s="547"/>
      <c r="V1535" s="547"/>
      <c r="W1535" s="549"/>
    </row>
    <row r="1536" spans="1:23">
      <c r="A1536" s="565">
        <v>2230</v>
      </c>
      <c r="B1536" s="696" t="s">
        <v>6942</v>
      </c>
      <c r="C1536" s="566">
        <f t="shared" si="23"/>
        <v>2230</v>
      </c>
      <c r="D1536" s="700" t="s">
        <v>2236</v>
      </c>
      <c r="E1536" s="701" t="s">
        <v>9411</v>
      </c>
      <c r="F1536" s="566">
        <v>1</v>
      </c>
      <c r="G1536" s="662">
        <v>10496.469763074285</v>
      </c>
      <c r="H1536" s="662">
        <v>10856.060182043353</v>
      </c>
      <c r="I1536" s="662">
        <v>11196.686915585913</v>
      </c>
      <c r="J1536" s="662">
        <v>11555.261422835703</v>
      </c>
      <c r="K1536" s="566" t="s">
        <v>2103</v>
      </c>
      <c r="L1536" s="549"/>
      <c r="M1536" s="540"/>
      <c r="O1536" s="540"/>
      <c r="S1536" s="550"/>
      <c r="T1536" s="547"/>
      <c r="U1536" s="547"/>
      <c r="V1536" s="547"/>
      <c r="W1536" s="549"/>
    </row>
    <row r="1537" spans="1:23">
      <c r="A1537" s="565">
        <v>2231</v>
      </c>
      <c r="B1537" s="696" t="s">
        <v>6943</v>
      </c>
      <c r="C1537" s="566">
        <f t="shared" si="23"/>
        <v>2231</v>
      </c>
      <c r="D1537" s="700" t="s">
        <v>2236</v>
      </c>
      <c r="E1537" s="701" t="s">
        <v>9412</v>
      </c>
      <c r="F1537" s="566">
        <v>1</v>
      </c>
      <c r="G1537" s="662">
        <v>0</v>
      </c>
      <c r="H1537" s="662">
        <v>0</v>
      </c>
      <c r="I1537" s="662">
        <v>0</v>
      </c>
      <c r="J1537" s="662">
        <v>14537.023215846306</v>
      </c>
      <c r="K1537" s="566" t="s">
        <v>4847</v>
      </c>
      <c r="L1537" s="549"/>
      <c r="M1537" s="540"/>
      <c r="O1537" s="540"/>
      <c r="S1537" s="550"/>
      <c r="T1537" s="547"/>
      <c r="U1537" s="547"/>
      <c r="V1537" s="547"/>
      <c r="W1537" s="549"/>
    </row>
    <row r="1538" spans="1:23">
      <c r="A1538" s="565">
        <v>2232</v>
      </c>
      <c r="B1538" s="696" t="s">
        <v>6944</v>
      </c>
      <c r="C1538" s="566">
        <f t="shared" si="23"/>
        <v>2232</v>
      </c>
      <c r="D1538" s="700" t="s">
        <v>2236</v>
      </c>
      <c r="E1538" s="701" t="s">
        <v>9413</v>
      </c>
      <c r="F1538" s="566">
        <v>1</v>
      </c>
      <c r="G1538" s="662">
        <v>0</v>
      </c>
      <c r="H1538" s="662">
        <v>0</v>
      </c>
      <c r="I1538" s="662">
        <v>0</v>
      </c>
      <c r="J1538" s="662">
        <v>13412.284511073178</v>
      </c>
      <c r="K1538" s="566" t="s">
        <v>4848</v>
      </c>
      <c r="L1538" s="549"/>
      <c r="M1538" s="540"/>
      <c r="O1538" s="540"/>
      <c r="S1538" s="550"/>
      <c r="T1538" s="547"/>
      <c r="U1538" s="547"/>
      <c r="V1538" s="547"/>
      <c r="W1538" s="549"/>
    </row>
    <row r="1539" spans="1:23">
      <c r="A1539" s="565">
        <v>2233</v>
      </c>
      <c r="B1539" s="696" t="s">
        <v>6945</v>
      </c>
      <c r="C1539" s="566">
        <f t="shared" si="23"/>
        <v>2233</v>
      </c>
      <c r="D1539" s="700" t="s">
        <v>2236</v>
      </c>
      <c r="E1539" s="701" t="s">
        <v>9414</v>
      </c>
      <c r="F1539" s="566">
        <v>1</v>
      </c>
      <c r="G1539" s="662">
        <v>0</v>
      </c>
      <c r="H1539" s="662">
        <v>0</v>
      </c>
      <c r="I1539" s="662">
        <v>0</v>
      </c>
      <c r="J1539" s="662">
        <v>13667.906943976159</v>
      </c>
      <c r="K1539" s="566" t="s">
        <v>4849</v>
      </c>
      <c r="L1539" s="549"/>
      <c r="M1539" s="540"/>
      <c r="O1539" s="540"/>
      <c r="S1539" s="550"/>
      <c r="T1539" s="547"/>
      <c r="U1539" s="547"/>
      <c r="V1539" s="547"/>
      <c r="W1539" s="549"/>
    </row>
    <row r="1540" spans="1:23">
      <c r="A1540" s="565">
        <v>2234</v>
      </c>
      <c r="B1540" s="696" t="s">
        <v>6946</v>
      </c>
      <c r="C1540" s="566">
        <f t="shared" si="23"/>
        <v>2234</v>
      </c>
      <c r="D1540" s="700" t="s">
        <v>2236</v>
      </c>
      <c r="E1540" s="701" t="s">
        <v>9415</v>
      </c>
      <c r="F1540" s="566">
        <v>1</v>
      </c>
      <c r="G1540" s="662">
        <v>14821.504229177081</v>
      </c>
      <c r="H1540" s="662">
        <v>15342.624611511175</v>
      </c>
      <c r="I1540" s="662">
        <v>15891.13228061078</v>
      </c>
      <c r="J1540" s="662">
        <v>16468.551104054812</v>
      </c>
      <c r="K1540" s="566" t="s">
        <v>2104</v>
      </c>
      <c r="L1540" s="549"/>
      <c r="M1540" s="540"/>
      <c r="O1540" s="540"/>
      <c r="S1540" s="550"/>
      <c r="T1540" s="547"/>
      <c r="U1540" s="547"/>
      <c r="V1540" s="547"/>
      <c r="W1540" s="549"/>
    </row>
    <row r="1541" spans="1:23">
      <c r="A1541" s="565">
        <v>2235</v>
      </c>
      <c r="B1541" s="696" t="s">
        <v>6947</v>
      </c>
      <c r="C1541" s="566">
        <f t="shared" si="23"/>
        <v>2235</v>
      </c>
      <c r="D1541" s="700" t="s">
        <v>2236</v>
      </c>
      <c r="E1541" s="701" t="s">
        <v>9416</v>
      </c>
      <c r="F1541" s="566">
        <v>1</v>
      </c>
      <c r="G1541" s="662">
        <v>12247.462477504654</v>
      </c>
      <c r="H1541" s="662">
        <v>0</v>
      </c>
      <c r="I1541" s="662">
        <v>0</v>
      </c>
      <c r="J1541" s="662">
        <v>0</v>
      </c>
      <c r="K1541" s="566" t="s">
        <v>5308</v>
      </c>
      <c r="L1541" s="549"/>
      <c r="M1541" s="540"/>
      <c r="O1541" s="540"/>
      <c r="S1541" s="550"/>
      <c r="T1541" s="547"/>
      <c r="U1541" s="547"/>
      <c r="V1541" s="547"/>
      <c r="W1541" s="549"/>
    </row>
    <row r="1542" spans="1:23">
      <c r="A1542" s="565">
        <v>2236</v>
      </c>
      <c r="B1542" s="696" t="s">
        <v>6948</v>
      </c>
      <c r="C1542" s="566">
        <f t="shared" si="23"/>
        <v>2236</v>
      </c>
      <c r="D1542" s="700" t="s">
        <v>2236</v>
      </c>
      <c r="E1542" s="701" t="s">
        <v>9417</v>
      </c>
      <c r="F1542" s="566">
        <v>1</v>
      </c>
      <c r="G1542" s="662">
        <v>0</v>
      </c>
      <c r="H1542" s="662">
        <v>0</v>
      </c>
      <c r="I1542" s="662">
        <v>43614.951368477217</v>
      </c>
      <c r="J1542" s="662">
        <v>45219.033643560528</v>
      </c>
      <c r="K1542" s="566" t="s">
        <v>4106</v>
      </c>
      <c r="L1542" s="549"/>
      <c r="M1542" s="540"/>
      <c r="O1542" s="540"/>
      <c r="S1542" s="550"/>
      <c r="T1542" s="547"/>
      <c r="U1542" s="547"/>
      <c r="V1542" s="547"/>
      <c r="W1542" s="549"/>
    </row>
    <row r="1543" spans="1:23">
      <c r="A1543" s="565">
        <v>2237</v>
      </c>
      <c r="B1543" s="696" t="s">
        <v>6949</v>
      </c>
      <c r="C1543" s="566">
        <f t="shared" si="23"/>
        <v>2237</v>
      </c>
      <c r="D1543" s="700" t="s">
        <v>2236</v>
      </c>
      <c r="E1543" s="701" t="s">
        <v>9418</v>
      </c>
      <c r="F1543" s="566">
        <v>2</v>
      </c>
      <c r="G1543" s="662">
        <v>0</v>
      </c>
      <c r="H1543" s="662">
        <v>0</v>
      </c>
      <c r="I1543" s="662">
        <v>23903.959673669724</v>
      </c>
      <c r="J1543" s="662">
        <v>0</v>
      </c>
      <c r="K1543" s="566" t="s">
        <v>4107</v>
      </c>
      <c r="L1543" s="549"/>
      <c r="M1543" s="540"/>
      <c r="O1543" s="540"/>
      <c r="S1543" s="550"/>
      <c r="T1543" s="547"/>
      <c r="U1543" s="547"/>
      <c r="V1543" s="547"/>
      <c r="W1543" s="549"/>
    </row>
    <row r="1544" spans="1:23">
      <c r="A1544" s="565">
        <v>2238</v>
      </c>
      <c r="B1544" s="696" t="s">
        <v>6950</v>
      </c>
      <c r="C1544" s="566">
        <f t="shared" si="23"/>
        <v>2238</v>
      </c>
      <c r="D1544" s="700" t="s">
        <v>2236</v>
      </c>
      <c r="E1544" s="701" t="s">
        <v>9419</v>
      </c>
      <c r="F1544" s="566">
        <v>2</v>
      </c>
      <c r="G1544" s="662">
        <v>0</v>
      </c>
      <c r="H1544" s="662">
        <v>0</v>
      </c>
      <c r="I1544" s="662">
        <v>25499.652825316243</v>
      </c>
      <c r="J1544" s="662">
        <v>0</v>
      </c>
      <c r="K1544" s="566" t="s">
        <v>4108</v>
      </c>
      <c r="L1544" s="549"/>
      <c r="M1544" s="540"/>
      <c r="O1544" s="540"/>
      <c r="S1544" s="550"/>
      <c r="T1544" s="547"/>
      <c r="U1544" s="547"/>
      <c r="V1544" s="547"/>
      <c r="W1544" s="549"/>
    </row>
    <row r="1545" spans="1:23">
      <c r="A1545" s="565">
        <v>2239</v>
      </c>
      <c r="B1545" s="696" t="s">
        <v>6951</v>
      </c>
      <c r="C1545" s="566">
        <f t="shared" ref="C1545:C1608" si="24">A1545</f>
        <v>2239</v>
      </c>
      <c r="D1545" s="700" t="s">
        <v>2236</v>
      </c>
      <c r="E1545" s="701" t="s">
        <v>9420</v>
      </c>
      <c r="F1545" s="566">
        <v>2</v>
      </c>
      <c r="G1545" s="662">
        <v>0</v>
      </c>
      <c r="H1545" s="662">
        <v>0</v>
      </c>
      <c r="I1545" s="662">
        <v>26580.60625062518</v>
      </c>
      <c r="J1545" s="662">
        <v>0</v>
      </c>
      <c r="K1545" s="566" t="s">
        <v>4109</v>
      </c>
      <c r="L1545" s="549"/>
      <c r="M1545" s="540"/>
      <c r="O1545" s="540"/>
      <c r="S1545" s="550"/>
      <c r="T1545" s="547"/>
      <c r="U1545" s="547"/>
      <c r="V1545" s="547"/>
      <c r="W1545" s="549"/>
    </row>
    <row r="1546" spans="1:23">
      <c r="A1546" s="565">
        <v>2240</v>
      </c>
      <c r="B1546" s="696" t="s">
        <v>6952</v>
      </c>
      <c r="C1546" s="566">
        <f t="shared" si="24"/>
        <v>2240</v>
      </c>
      <c r="D1546" s="700" t="s">
        <v>2236</v>
      </c>
      <c r="E1546" s="701" t="s">
        <v>9421</v>
      </c>
      <c r="F1546" s="566">
        <v>2</v>
      </c>
      <c r="G1546" s="662">
        <v>27416.238484184487</v>
      </c>
      <c r="H1546" s="662">
        <v>28481.087212268252</v>
      </c>
      <c r="I1546" s="662">
        <v>29601.985731759891</v>
      </c>
      <c r="J1546" s="662">
        <v>30781.853302628548</v>
      </c>
      <c r="K1546" s="566" t="s">
        <v>2105</v>
      </c>
      <c r="L1546" s="549"/>
      <c r="M1546" s="540"/>
      <c r="O1546" s="540"/>
      <c r="S1546" s="550"/>
      <c r="T1546" s="547"/>
      <c r="U1546" s="547"/>
      <c r="V1546" s="547"/>
      <c r="W1546" s="549"/>
    </row>
    <row r="1547" spans="1:23">
      <c r="A1547" s="565">
        <v>2241</v>
      </c>
      <c r="B1547" s="696" t="s">
        <v>6953</v>
      </c>
      <c r="C1547" s="566">
        <f t="shared" si="24"/>
        <v>2241</v>
      </c>
      <c r="D1547" s="700" t="s">
        <v>2236</v>
      </c>
      <c r="E1547" s="701" t="s">
        <v>9422</v>
      </c>
      <c r="F1547" s="566">
        <v>2</v>
      </c>
      <c r="G1547" s="662">
        <v>28958.248024096953</v>
      </c>
      <c r="H1547" s="662">
        <v>30093.158991440559</v>
      </c>
      <c r="I1547" s="662">
        <v>31287.817479486293</v>
      </c>
      <c r="J1547" s="662">
        <v>32545.3373655346</v>
      </c>
      <c r="K1547" s="566" t="s">
        <v>2106</v>
      </c>
      <c r="L1547" s="549"/>
      <c r="M1547" s="540"/>
      <c r="O1547" s="540"/>
      <c r="S1547" s="550"/>
      <c r="T1547" s="547"/>
      <c r="U1547" s="547"/>
      <c r="V1547" s="547"/>
      <c r="W1547" s="549"/>
    </row>
    <row r="1548" spans="1:23">
      <c r="A1548" s="565">
        <v>2242</v>
      </c>
      <c r="B1548" s="696" t="s">
        <v>6954</v>
      </c>
      <c r="C1548" s="566">
        <f t="shared" si="24"/>
        <v>2242</v>
      </c>
      <c r="D1548" s="700" t="s">
        <v>2236</v>
      </c>
      <c r="E1548" s="701" t="s">
        <v>9423</v>
      </c>
      <c r="F1548" s="566">
        <v>2</v>
      </c>
      <c r="G1548" s="662">
        <v>28953.064798752708</v>
      </c>
      <c r="H1548" s="662">
        <v>30087.732494432217</v>
      </c>
      <c r="I1548" s="662">
        <v>31282.147710813853</v>
      </c>
      <c r="J1548" s="662">
        <v>32539.424325198059</v>
      </c>
      <c r="K1548" s="566" t="s">
        <v>2107</v>
      </c>
      <c r="L1548" s="549"/>
      <c r="M1548" s="540"/>
      <c r="O1548" s="540"/>
      <c r="S1548" s="550"/>
      <c r="T1548" s="547"/>
      <c r="U1548" s="547"/>
      <c r="V1548" s="547"/>
      <c r="W1548" s="549"/>
    </row>
    <row r="1549" spans="1:23">
      <c r="A1549" s="565">
        <v>2243</v>
      </c>
      <c r="B1549" s="696" t="s">
        <v>6955</v>
      </c>
      <c r="C1549" s="566">
        <f t="shared" si="24"/>
        <v>2243</v>
      </c>
      <c r="D1549" s="700" t="s">
        <v>2236</v>
      </c>
      <c r="E1549" s="701" t="s">
        <v>9424</v>
      </c>
      <c r="F1549" s="566">
        <v>2</v>
      </c>
      <c r="G1549" s="662">
        <v>30495.074338665181</v>
      </c>
      <c r="H1549" s="662">
        <v>31699.852927937336</v>
      </c>
      <c r="I1549" s="662">
        <v>32968.028112873078</v>
      </c>
      <c r="J1549" s="662">
        <v>34302.957042436916</v>
      </c>
      <c r="K1549" s="566" t="s">
        <v>2108</v>
      </c>
      <c r="L1549" s="549"/>
      <c r="M1549" s="540"/>
      <c r="O1549" s="540"/>
      <c r="S1549" s="550"/>
      <c r="T1549" s="547"/>
      <c r="U1549" s="547"/>
      <c r="V1549" s="547"/>
      <c r="W1549" s="549"/>
    </row>
    <row r="1550" spans="1:23">
      <c r="A1550" s="565">
        <v>2244</v>
      </c>
      <c r="B1550" s="696" t="s">
        <v>6956</v>
      </c>
      <c r="C1550" s="566">
        <f t="shared" si="24"/>
        <v>2244</v>
      </c>
      <c r="D1550" s="700" t="s">
        <v>2236</v>
      </c>
      <c r="E1550" s="701" t="s">
        <v>9425</v>
      </c>
      <c r="F1550" s="566">
        <v>2</v>
      </c>
      <c r="G1550" s="662">
        <v>32165.988439312761</v>
      </c>
      <c r="H1550" s="662">
        <v>33446.716442115881</v>
      </c>
      <c r="I1550" s="662">
        <v>34794.830695873759</v>
      </c>
      <c r="J1550" s="662">
        <v>36213.931621215044</v>
      </c>
      <c r="K1550" s="566" t="s">
        <v>2109</v>
      </c>
      <c r="L1550" s="549"/>
      <c r="M1550" s="540"/>
      <c r="O1550" s="540"/>
      <c r="S1550" s="550"/>
      <c r="T1550" s="547"/>
      <c r="U1550" s="547"/>
      <c r="V1550" s="547"/>
      <c r="W1550" s="549"/>
    </row>
    <row r="1551" spans="1:23">
      <c r="A1551" s="565">
        <v>2245</v>
      </c>
      <c r="B1551" s="695" t="s">
        <v>6957</v>
      </c>
      <c r="C1551" s="566">
        <f t="shared" si="24"/>
        <v>2245</v>
      </c>
      <c r="D1551" s="699" t="s">
        <v>2236</v>
      </c>
      <c r="E1551" s="701" t="s">
        <v>9426</v>
      </c>
      <c r="F1551" s="567">
        <v>2</v>
      </c>
      <c r="G1551" s="662">
        <v>28509.562851485</v>
      </c>
      <c r="H1551" s="662">
        <v>29659.5566620026</v>
      </c>
      <c r="I1551" s="662">
        <v>30870.076462547422</v>
      </c>
      <c r="J1551" s="662">
        <v>32144.333439085582</v>
      </c>
      <c r="K1551" s="568" t="s">
        <v>2110</v>
      </c>
      <c r="L1551" s="549"/>
      <c r="M1551" s="540"/>
      <c r="O1551" s="540"/>
      <c r="S1551" s="550"/>
      <c r="T1551" s="547"/>
      <c r="U1551" s="547"/>
      <c r="V1551" s="547"/>
      <c r="W1551" s="549"/>
    </row>
    <row r="1552" spans="1:23">
      <c r="A1552" s="565">
        <v>2246</v>
      </c>
      <c r="B1552" s="696" t="s">
        <v>6958</v>
      </c>
      <c r="C1552" s="566">
        <f t="shared" si="24"/>
        <v>2246</v>
      </c>
      <c r="D1552" s="700" t="s">
        <v>2236</v>
      </c>
      <c r="E1552" s="701" t="s">
        <v>9427</v>
      </c>
      <c r="F1552" s="566">
        <v>2</v>
      </c>
      <c r="G1552" s="662">
        <v>30132.569575755875</v>
      </c>
      <c r="H1552" s="662">
        <v>31358.707417135713</v>
      </c>
      <c r="I1552" s="662">
        <v>32649.360903833975</v>
      </c>
      <c r="J1552" s="662">
        <v>34007.935839148013</v>
      </c>
      <c r="K1552" s="566" t="s">
        <v>2111</v>
      </c>
      <c r="L1552" s="549"/>
      <c r="M1552" s="540"/>
      <c r="O1552" s="540"/>
      <c r="S1552" s="550"/>
      <c r="T1552" s="547"/>
      <c r="U1552" s="547"/>
      <c r="V1552" s="547"/>
      <c r="W1552" s="549"/>
    </row>
    <row r="1553" spans="1:23">
      <c r="A1553" s="565">
        <v>2247</v>
      </c>
      <c r="B1553" s="696" t="s">
        <v>6959</v>
      </c>
      <c r="C1553" s="566">
        <f t="shared" si="24"/>
        <v>2247</v>
      </c>
      <c r="D1553" s="700" t="s">
        <v>2236</v>
      </c>
      <c r="E1553" s="701" t="s">
        <v>9428</v>
      </c>
      <c r="F1553" s="566">
        <v>2</v>
      </c>
      <c r="G1553" s="662">
        <v>30146.659408242529</v>
      </c>
      <c r="H1553" s="662">
        <v>31373.478410281841</v>
      </c>
      <c r="I1553" s="662">
        <v>32664.861711972389</v>
      </c>
      <c r="J1553" s="662">
        <v>34024.215116611536</v>
      </c>
      <c r="K1553" s="566" t="s">
        <v>2112</v>
      </c>
      <c r="L1553" s="549"/>
      <c r="M1553" s="540"/>
      <c r="O1553" s="540"/>
      <c r="S1553" s="550"/>
      <c r="T1553" s="547"/>
      <c r="U1553" s="547"/>
      <c r="V1553" s="547"/>
      <c r="W1553" s="549"/>
    </row>
    <row r="1554" spans="1:23">
      <c r="A1554" s="565">
        <v>2248</v>
      </c>
      <c r="B1554" s="696" t="s">
        <v>6960</v>
      </c>
      <c r="C1554" s="566">
        <f t="shared" si="24"/>
        <v>2248</v>
      </c>
      <c r="D1554" s="700" t="s">
        <v>2236</v>
      </c>
      <c r="E1554" s="701" t="s">
        <v>9429</v>
      </c>
      <c r="F1554" s="566">
        <v>2</v>
      </c>
      <c r="G1554" s="662">
        <v>31797.894451819539</v>
      </c>
      <c r="H1554" s="662">
        <v>33102.122497374396</v>
      </c>
      <c r="I1554" s="662">
        <v>34475.001806537315</v>
      </c>
      <c r="J1554" s="662">
        <v>35920.132799936939</v>
      </c>
      <c r="K1554" s="566" t="s">
        <v>2113</v>
      </c>
      <c r="L1554" s="549"/>
      <c r="M1554" s="540"/>
      <c r="O1554" s="540"/>
      <c r="S1554" s="550"/>
      <c r="T1554" s="547"/>
      <c r="U1554" s="547"/>
      <c r="V1554" s="547"/>
      <c r="W1554" s="549"/>
    </row>
    <row r="1555" spans="1:23">
      <c r="A1555" s="565">
        <v>2249</v>
      </c>
      <c r="B1555" s="696" t="s">
        <v>6961</v>
      </c>
      <c r="C1555" s="566">
        <f t="shared" si="24"/>
        <v>2249</v>
      </c>
      <c r="D1555" s="700" t="s">
        <v>2236</v>
      </c>
      <c r="E1555" s="701" t="s">
        <v>9430</v>
      </c>
      <c r="F1555" s="566">
        <v>2</v>
      </c>
      <c r="G1555" s="662">
        <v>33576.083950774941</v>
      </c>
      <c r="H1555" s="662">
        <v>34963.705522782111</v>
      </c>
      <c r="I1555" s="662">
        <v>36424.357248351102</v>
      </c>
      <c r="J1555" s="662">
        <v>37961.882819774619</v>
      </c>
      <c r="K1555" s="566" t="s">
        <v>2114</v>
      </c>
      <c r="L1555" s="549"/>
      <c r="M1555" s="540"/>
      <c r="O1555" s="540"/>
      <c r="S1555" s="550"/>
      <c r="T1555" s="547"/>
      <c r="U1555" s="547"/>
      <c r="V1555" s="547"/>
      <c r="W1555" s="549"/>
    </row>
    <row r="1556" spans="1:23">
      <c r="A1556" s="565">
        <v>2250</v>
      </c>
      <c r="B1556" s="696" t="s">
        <v>6962</v>
      </c>
      <c r="C1556" s="566">
        <f t="shared" si="24"/>
        <v>2250</v>
      </c>
      <c r="D1556" s="700" t="s">
        <v>2236</v>
      </c>
      <c r="E1556" s="701" t="s">
        <v>9431</v>
      </c>
      <c r="F1556" s="566">
        <v>2</v>
      </c>
      <c r="G1556" s="662">
        <v>0</v>
      </c>
      <c r="H1556" s="662">
        <v>0</v>
      </c>
      <c r="I1556" s="662">
        <v>32911.904884577503</v>
      </c>
      <c r="J1556" s="662">
        <v>34206.888606896682</v>
      </c>
      <c r="K1556" s="566" t="s">
        <v>4110</v>
      </c>
      <c r="L1556" s="549"/>
      <c r="M1556" s="540"/>
      <c r="O1556" s="540"/>
      <c r="S1556" s="550"/>
      <c r="T1556" s="547"/>
      <c r="U1556" s="547"/>
      <c r="V1556" s="547"/>
      <c r="W1556" s="549"/>
    </row>
    <row r="1557" spans="1:23">
      <c r="A1557" s="565">
        <v>2251</v>
      </c>
      <c r="B1557" s="695" t="s">
        <v>6963</v>
      </c>
      <c r="C1557" s="566">
        <f t="shared" si="24"/>
        <v>2251</v>
      </c>
      <c r="D1557" s="699" t="s">
        <v>2236</v>
      </c>
      <c r="E1557" s="701" t="s">
        <v>9432</v>
      </c>
      <c r="F1557" s="567">
        <v>2</v>
      </c>
      <c r="G1557" s="662">
        <v>0</v>
      </c>
      <c r="H1557" s="662">
        <v>0</v>
      </c>
      <c r="I1557" s="662">
        <v>37184.244613179479</v>
      </c>
      <c r="J1557" s="662">
        <v>38670.537172144257</v>
      </c>
      <c r="K1557" s="568" t="s">
        <v>4111</v>
      </c>
      <c r="L1557" s="549"/>
      <c r="M1557" s="540"/>
      <c r="O1557" s="540"/>
      <c r="S1557" s="550"/>
      <c r="T1557" s="547"/>
      <c r="U1557" s="547"/>
      <c r="V1557" s="547"/>
      <c r="W1557" s="549"/>
    </row>
    <row r="1558" spans="1:23">
      <c r="A1558" s="565">
        <v>2252</v>
      </c>
      <c r="B1558" s="696" t="s">
        <v>6964</v>
      </c>
      <c r="C1558" s="566">
        <f t="shared" si="24"/>
        <v>2252</v>
      </c>
      <c r="D1558" s="700" t="s">
        <v>2236</v>
      </c>
      <c r="E1558" s="701" t="s">
        <v>9433</v>
      </c>
      <c r="F1558" s="566">
        <v>2</v>
      </c>
      <c r="G1558" s="662">
        <v>31261.60503933574</v>
      </c>
      <c r="H1558" s="662">
        <v>32540.678794823005</v>
      </c>
      <c r="I1558" s="662">
        <v>33887.09014693222</v>
      </c>
      <c r="J1558" s="662">
        <v>35304.342207626352</v>
      </c>
      <c r="K1558" s="566" t="s">
        <v>2115</v>
      </c>
      <c r="L1558" s="549"/>
      <c r="M1558" s="540"/>
      <c r="O1558" s="540"/>
      <c r="S1558" s="550"/>
      <c r="T1558" s="547"/>
      <c r="U1558" s="547"/>
      <c r="V1558" s="547"/>
      <c r="W1558" s="549"/>
    </row>
    <row r="1559" spans="1:23">
      <c r="A1559" s="565">
        <v>2253</v>
      </c>
      <c r="B1559" s="696" t="s">
        <v>6965</v>
      </c>
      <c r="C1559" s="566">
        <f t="shared" si="24"/>
        <v>2253</v>
      </c>
      <c r="D1559" s="700" t="s">
        <v>2236</v>
      </c>
      <c r="E1559" s="701" t="s">
        <v>9434</v>
      </c>
      <c r="F1559" s="566">
        <v>2</v>
      </c>
      <c r="G1559" s="662">
        <v>32919.836344823256</v>
      </c>
      <c r="H1559" s="662">
        <v>34276.70837848862</v>
      </c>
      <c r="I1559" s="662">
        <v>35704.956318399942</v>
      </c>
      <c r="J1559" s="662">
        <v>37208.375202517112</v>
      </c>
      <c r="K1559" s="566" t="s">
        <v>2116</v>
      </c>
      <c r="L1559" s="549"/>
      <c r="M1559" s="540"/>
      <c r="O1559" s="540"/>
      <c r="S1559" s="550"/>
      <c r="T1559" s="547"/>
      <c r="U1559" s="547"/>
      <c r="V1559" s="547"/>
      <c r="W1559" s="549"/>
    </row>
    <row r="1560" spans="1:23">
      <c r="A1560" s="565">
        <v>2254</v>
      </c>
      <c r="B1560" s="696" t="s">
        <v>6966</v>
      </c>
      <c r="C1560" s="566">
        <f t="shared" si="24"/>
        <v>2254</v>
      </c>
      <c r="D1560" s="700" t="s">
        <v>2236</v>
      </c>
      <c r="E1560" s="701" t="s">
        <v>9435</v>
      </c>
      <c r="F1560" s="566">
        <v>2</v>
      </c>
      <c r="G1560" s="662">
        <v>34712.16433059812</v>
      </c>
      <c r="H1560" s="662">
        <v>36153.062397042464</v>
      </c>
      <c r="I1560" s="662">
        <v>37669.812568352136</v>
      </c>
      <c r="J1560" s="662">
        <v>39266.404499818331</v>
      </c>
      <c r="K1560" s="566" t="s">
        <v>2117</v>
      </c>
      <c r="L1560" s="549"/>
      <c r="M1560" s="540"/>
      <c r="O1560" s="540"/>
      <c r="S1560" s="550"/>
      <c r="T1560" s="547"/>
      <c r="U1560" s="547"/>
      <c r="V1560" s="547"/>
      <c r="W1560" s="549"/>
    </row>
    <row r="1561" spans="1:23">
      <c r="A1561" s="565">
        <v>2255</v>
      </c>
      <c r="B1561" s="696" t="s">
        <v>6967</v>
      </c>
      <c r="C1561" s="566">
        <f t="shared" si="24"/>
        <v>2255</v>
      </c>
      <c r="D1561" s="700" t="s">
        <v>2236</v>
      </c>
      <c r="E1561" s="701" t="s">
        <v>9436</v>
      </c>
      <c r="F1561" s="566">
        <v>2</v>
      </c>
      <c r="G1561" s="662">
        <v>0</v>
      </c>
      <c r="H1561" s="662">
        <v>0</v>
      </c>
      <c r="I1561" s="662">
        <v>38700.731871449032</v>
      </c>
      <c r="J1561" s="662">
        <v>40341.307319783875</v>
      </c>
      <c r="K1561" s="566" t="s">
        <v>4112</v>
      </c>
      <c r="L1561" s="549"/>
      <c r="M1561" s="540"/>
      <c r="O1561" s="540"/>
      <c r="S1561" s="550"/>
      <c r="T1561" s="547"/>
      <c r="U1561" s="547"/>
      <c r="V1561" s="547"/>
      <c r="W1561" s="549"/>
    </row>
    <row r="1562" spans="1:23">
      <c r="A1562" s="565">
        <v>2256</v>
      </c>
      <c r="B1562" s="696" t="s">
        <v>6968</v>
      </c>
      <c r="C1562" s="566">
        <f t="shared" si="24"/>
        <v>2256</v>
      </c>
      <c r="D1562" s="700" t="s">
        <v>2236</v>
      </c>
      <c r="E1562" s="701" t="s">
        <v>9437</v>
      </c>
      <c r="F1562" s="566">
        <v>2</v>
      </c>
      <c r="G1562" s="662">
        <v>0</v>
      </c>
      <c r="H1562" s="662">
        <v>0</v>
      </c>
      <c r="I1562" s="662">
        <v>34428.392142847035</v>
      </c>
      <c r="J1562" s="662">
        <v>35867.052109981698</v>
      </c>
      <c r="K1562" s="566" t="s">
        <v>4113</v>
      </c>
      <c r="L1562" s="549"/>
      <c r="M1562" s="540"/>
      <c r="O1562" s="540"/>
      <c r="S1562" s="550"/>
      <c r="T1562" s="547"/>
      <c r="U1562" s="547"/>
      <c r="V1562" s="547"/>
      <c r="W1562" s="549"/>
    </row>
    <row r="1563" spans="1:23">
      <c r="A1563" s="565">
        <v>2257</v>
      </c>
      <c r="B1563" s="696" t="s">
        <v>6969</v>
      </c>
      <c r="C1563" s="566">
        <f t="shared" si="24"/>
        <v>2257</v>
      </c>
      <c r="D1563" s="700" t="s">
        <v>2236</v>
      </c>
      <c r="E1563" s="701" t="s">
        <v>9438</v>
      </c>
      <c r="F1563" s="566">
        <v>1</v>
      </c>
      <c r="G1563" s="662">
        <v>40091.669725442916</v>
      </c>
      <c r="H1563" s="662">
        <v>41566.646552868122</v>
      </c>
      <c r="I1563" s="662">
        <v>43119.213637853099</v>
      </c>
      <c r="J1563" s="662">
        <v>44753.519286584895</v>
      </c>
      <c r="K1563" s="566" t="s">
        <v>3171</v>
      </c>
      <c r="L1563" s="549"/>
      <c r="M1563" s="540"/>
      <c r="O1563" s="540"/>
      <c r="S1563" s="550"/>
      <c r="T1563" s="547"/>
      <c r="U1563" s="547"/>
      <c r="V1563" s="547"/>
      <c r="W1563" s="549"/>
    </row>
    <row r="1564" spans="1:23">
      <c r="A1564" s="565">
        <v>2258</v>
      </c>
      <c r="B1564" s="696" t="s">
        <v>6970</v>
      </c>
      <c r="C1564" s="566">
        <f t="shared" si="24"/>
        <v>2258</v>
      </c>
      <c r="D1564" s="700" t="s">
        <v>2236</v>
      </c>
      <c r="E1564" s="701" t="s">
        <v>9439</v>
      </c>
      <c r="F1564" s="566">
        <v>1</v>
      </c>
      <c r="G1564" s="662">
        <v>0</v>
      </c>
      <c r="H1564" s="662">
        <v>0</v>
      </c>
      <c r="I1564" s="662">
        <v>41316.790924608584</v>
      </c>
      <c r="J1564" s="662">
        <v>42824.615564290405</v>
      </c>
      <c r="K1564" s="566" t="s">
        <v>4114</v>
      </c>
      <c r="L1564" s="549"/>
      <c r="M1564" s="540"/>
      <c r="O1564" s="540"/>
      <c r="S1564" s="550"/>
      <c r="T1564" s="547"/>
      <c r="U1564" s="547"/>
      <c r="V1564" s="547"/>
      <c r="W1564" s="549"/>
    </row>
    <row r="1565" spans="1:23">
      <c r="A1565" s="565">
        <v>2259</v>
      </c>
      <c r="B1565" s="695" t="s">
        <v>6971</v>
      </c>
      <c r="C1565" s="566">
        <f t="shared" si="24"/>
        <v>2259</v>
      </c>
      <c r="D1565" s="699" t="s">
        <v>2236</v>
      </c>
      <c r="E1565" s="701" t="s">
        <v>9440</v>
      </c>
      <c r="F1565" s="567">
        <v>2</v>
      </c>
      <c r="G1565" s="662">
        <v>25672.933014381491</v>
      </c>
      <c r="H1565" s="662">
        <v>26689.90587897104</v>
      </c>
      <c r="I1565" s="662">
        <v>27760.398509661856</v>
      </c>
      <c r="J1565" s="662">
        <v>28887.232857757448</v>
      </c>
      <c r="K1565" s="568" t="s">
        <v>2118</v>
      </c>
      <c r="L1565" s="549"/>
      <c r="M1565" s="540"/>
      <c r="O1565" s="540"/>
      <c r="S1565" s="550"/>
      <c r="T1565" s="547"/>
      <c r="U1565" s="547"/>
      <c r="V1565" s="547"/>
      <c r="W1565" s="549"/>
    </row>
    <row r="1566" spans="1:23">
      <c r="A1566" s="565">
        <v>2260</v>
      </c>
      <c r="B1566" s="695" t="s">
        <v>6972</v>
      </c>
      <c r="C1566" s="566">
        <f t="shared" si="24"/>
        <v>2260</v>
      </c>
      <c r="D1566" s="699" t="s">
        <v>2236</v>
      </c>
      <c r="E1566" s="701" t="s">
        <v>9441</v>
      </c>
      <c r="F1566" s="567">
        <v>2</v>
      </c>
      <c r="G1566" s="662">
        <v>26159.81070449634</v>
      </c>
      <c r="H1566" s="662">
        <v>27199.602451178158</v>
      </c>
      <c r="I1566" s="662">
        <v>28294.130322281722</v>
      </c>
      <c r="J1566" s="662">
        <v>29446.264923443359</v>
      </c>
      <c r="K1566" s="568" t="s">
        <v>2119</v>
      </c>
      <c r="L1566" s="549"/>
      <c r="M1566" s="540"/>
      <c r="O1566" s="540"/>
      <c r="S1566" s="550"/>
      <c r="T1566" s="547"/>
      <c r="U1566" s="547"/>
      <c r="V1566" s="547"/>
      <c r="W1566" s="549"/>
    </row>
    <row r="1567" spans="1:23">
      <c r="A1567" s="565">
        <v>2261</v>
      </c>
      <c r="B1567" s="695" t="s">
        <v>6973</v>
      </c>
      <c r="C1567" s="566">
        <f t="shared" si="24"/>
        <v>2261</v>
      </c>
      <c r="D1567" s="699" t="s">
        <v>2236</v>
      </c>
      <c r="E1567" s="701" t="s">
        <v>9442</v>
      </c>
      <c r="F1567" s="567">
        <v>2</v>
      </c>
      <c r="G1567" s="662">
        <v>26639.64347836786</v>
      </c>
      <c r="H1567" s="662">
        <v>27701.962181145031</v>
      </c>
      <c r="I1567" s="662">
        <v>28820.1847123316</v>
      </c>
      <c r="J1567" s="662">
        <v>29997.278986229554</v>
      </c>
      <c r="K1567" s="568" t="s">
        <v>2120</v>
      </c>
      <c r="L1567" s="549"/>
      <c r="M1567" s="540"/>
      <c r="O1567" s="540"/>
      <c r="S1567" s="550"/>
      <c r="T1567" s="547"/>
      <c r="U1567" s="547"/>
      <c r="V1567" s="547"/>
      <c r="W1567" s="549"/>
    </row>
    <row r="1568" spans="1:23">
      <c r="A1568" s="565">
        <v>2262</v>
      </c>
      <c r="B1568" s="695" t="s">
        <v>6974</v>
      </c>
      <c r="C1568" s="566">
        <f t="shared" si="24"/>
        <v>2262</v>
      </c>
      <c r="D1568" s="699" t="s">
        <v>2236</v>
      </c>
      <c r="E1568" s="701" t="s">
        <v>9443</v>
      </c>
      <c r="F1568" s="567">
        <v>2</v>
      </c>
      <c r="G1568" s="662">
        <v>27366.534864084118</v>
      </c>
      <c r="H1568" s="662">
        <v>28462.960254167629</v>
      </c>
      <c r="I1568" s="662">
        <v>29617.089682974864</v>
      </c>
      <c r="J1568" s="662">
        <v>30831.939719140617</v>
      </c>
      <c r="K1568" s="568" t="s">
        <v>2121</v>
      </c>
      <c r="L1568" s="549"/>
      <c r="M1568" s="540"/>
      <c r="O1568" s="540"/>
      <c r="S1568" s="550"/>
      <c r="T1568" s="547"/>
      <c r="U1568" s="547"/>
      <c r="V1568" s="547"/>
      <c r="W1568" s="549"/>
    </row>
    <row r="1569" spans="1:23">
      <c r="A1569" s="565">
        <v>2263</v>
      </c>
      <c r="B1569" s="696" t="s">
        <v>6975</v>
      </c>
      <c r="C1569" s="566">
        <f t="shared" si="24"/>
        <v>2263</v>
      </c>
      <c r="D1569" s="700" t="s">
        <v>2236</v>
      </c>
      <c r="E1569" s="701" t="s">
        <v>9444</v>
      </c>
      <c r="F1569" s="566">
        <v>2</v>
      </c>
      <c r="G1569" s="662">
        <v>27860.360161776651</v>
      </c>
      <c r="H1569" s="662">
        <v>28979.94501428217</v>
      </c>
      <c r="I1569" s="662">
        <v>30158.450263831885</v>
      </c>
      <c r="J1569" s="662">
        <v>31398.989787726237</v>
      </c>
      <c r="K1569" s="566" t="s">
        <v>2122</v>
      </c>
      <c r="L1569" s="549"/>
      <c r="M1569" s="540"/>
      <c r="O1569" s="540"/>
      <c r="S1569" s="550"/>
      <c r="T1569" s="547"/>
      <c r="U1569" s="547"/>
      <c r="V1569" s="547"/>
      <c r="W1569" s="549"/>
    </row>
    <row r="1570" spans="1:23">
      <c r="A1570" s="565">
        <v>2264</v>
      </c>
      <c r="B1570" s="696" t="s">
        <v>6976</v>
      </c>
      <c r="C1570" s="566">
        <f t="shared" si="24"/>
        <v>2264</v>
      </c>
      <c r="D1570" s="700" t="s">
        <v>2236</v>
      </c>
      <c r="E1570" s="701" t="s">
        <v>9445</v>
      </c>
      <c r="F1570" s="566">
        <v>2</v>
      </c>
      <c r="G1570" s="662">
        <v>27551.394278722117</v>
      </c>
      <c r="H1570" s="662">
        <v>28629.720256996854</v>
      </c>
      <c r="I1570" s="662">
        <v>29764.777187338907</v>
      </c>
      <c r="J1570" s="662">
        <v>30959.58163838309</v>
      </c>
      <c r="K1570" s="566" t="s">
        <v>2123</v>
      </c>
      <c r="L1570" s="549"/>
      <c r="M1570" s="540"/>
      <c r="O1570" s="540"/>
      <c r="S1570" s="550"/>
      <c r="T1570" s="547"/>
      <c r="U1570" s="547"/>
      <c r="V1570" s="547"/>
      <c r="W1570" s="549"/>
    </row>
    <row r="1571" spans="1:23">
      <c r="A1571" s="565">
        <v>2265</v>
      </c>
      <c r="B1571" s="696" t="s">
        <v>6977</v>
      </c>
      <c r="C1571" s="566">
        <f t="shared" si="24"/>
        <v>2265</v>
      </c>
      <c r="D1571" s="700" t="s">
        <v>2236</v>
      </c>
      <c r="E1571" s="701" t="s">
        <v>9446</v>
      </c>
      <c r="F1571" s="566">
        <v>1</v>
      </c>
      <c r="G1571" s="662">
        <v>39188.892252368794</v>
      </c>
      <c r="H1571" s="662">
        <v>40666.324199782255</v>
      </c>
      <c r="I1571" s="662">
        <v>0</v>
      </c>
      <c r="J1571" s="662">
        <v>0</v>
      </c>
      <c r="K1571" s="566" t="s">
        <v>2124</v>
      </c>
      <c r="L1571" s="549"/>
      <c r="M1571" s="540"/>
      <c r="O1571" s="540"/>
      <c r="S1571" s="550"/>
      <c r="T1571" s="547"/>
      <c r="U1571" s="547"/>
      <c r="V1571" s="547"/>
      <c r="W1571" s="549"/>
    </row>
    <row r="1572" spans="1:23">
      <c r="A1572" s="565">
        <v>2266</v>
      </c>
      <c r="B1572" s="696" t="s">
        <v>6978</v>
      </c>
      <c r="C1572" s="566">
        <f t="shared" si="24"/>
        <v>2266</v>
      </c>
      <c r="D1572" s="700" t="s">
        <v>2236</v>
      </c>
      <c r="E1572" s="701" t="s">
        <v>9447</v>
      </c>
      <c r="F1572" s="566">
        <v>1</v>
      </c>
      <c r="G1572" s="662">
        <v>0</v>
      </c>
      <c r="H1572" s="662">
        <v>0</v>
      </c>
      <c r="I1572" s="662">
        <v>31945.676646133976</v>
      </c>
      <c r="J1572" s="662">
        <v>33177.554265067192</v>
      </c>
      <c r="K1572" s="566" t="s">
        <v>4115</v>
      </c>
      <c r="L1572" s="549"/>
      <c r="M1572" s="540"/>
      <c r="O1572" s="540"/>
      <c r="S1572" s="550"/>
      <c r="T1572" s="547"/>
      <c r="U1572" s="547"/>
      <c r="V1572" s="547"/>
      <c r="W1572" s="549"/>
    </row>
    <row r="1573" spans="1:23">
      <c r="A1573" s="565">
        <v>2267</v>
      </c>
      <c r="B1573" s="696" t="s">
        <v>6979</v>
      </c>
      <c r="C1573" s="566">
        <f t="shared" si="24"/>
        <v>2267</v>
      </c>
      <c r="D1573" s="700" t="s">
        <v>2236</v>
      </c>
      <c r="E1573" s="701" t="s">
        <v>9448</v>
      </c>
      <c r="F1573" s="566">
        <v>1</v>
      </c>
      <c r="G1573" s="662">
        <v>0</v>
      </c>
      <c r="H1573" s="662">
        <v>0</v>
      </c>
      <c r="I1573" s="662">
        <v>0</v>
      </c>
      <c r="J1573" s="662">
        <v>32567.417349516927</v>
      </c>
      <c r="K1573" s="566" t="s">
        <v>4850</v>
      </c>
      <c r="L1573" s="549"/>
      <c r="M1573" s="540"/>
      <c r="O1573" s="540"/>
      <c r="S1573" s="550"/>
      <c r="T1573" s="547"/>
      <c r="U1573" s="547"/>
      <c r="V1573" s="547"/>
      <c r="W1573" s="549"/>
    </row>
    <row r="1574" spans="1:23">
      <c r="A1574" s="565">
        <v>2268</v>
      </c>
      <c r="B1574" s="696" t="s">
        <v>6980</v>
      </c>
      <c r="C1574" s="566">
        <f t="shared" si="24"/>
        <v>2268</v>
      </c>
      <c r="D1574" s="700" t="s">
        <v>2236</v>
      </c>
      <c r="E1574" s="701" t="s">
        <v>9449</v>
      </c>
      <c r="F1574" s="566">
        <v>1</v>
      </c>
      <c r="G1574" s="662">
        <v>37983.82670759983</v>
      </c>
      <c r="H1574" s="662">
        <v>0</v>
      </c>
      <c r="I1574" s="662">
        <v>0</v>
      </c>
      <c r="J1574" s="662">
        <v>0</v>
      </c>
      <c r="K1574" s="566" t="s">
        <v>5309</v>
      </c>
      <c r="L1574" s="549"/>
      <c r="M1574" s="540"/>
      <c r="O1574" s="540"/>
      <c r="S1574" s="550"/>
      <c r="T1574" s="547"/>
      <c r="U1574" s="547"/>
      <c r="V1574" s="547"/>
      <c r="W1574" s="549"/>
    </row>
    <row r="1575" spans="1:23">
      <c r="A1575" s="565">
        <v>2269</v>
      </c>
      <c r="B1575" s="696" t="s">
        <v>6981</v>
      </c>
      <c r="C1575" s="566">
        <f t="shared" si="24"/>
        <v>2269</v>
      </c>
      <c r="D1575" s="700" t="s">
        <v>2236</v>
      </c>
      <c r="E1575" s="701" t="s">
        <v>9450</v>
      </c>
      <c r="F1575" s="566">
        <v>1</v>
      </c>
      <c r="G1575" s="662">
        <v>43103.706502671259</v>
      </c>
      <c r="H1575" s="662">
        <v>0</v>
      </c>
      <c r="I1575" s="662">
        <v>46355.089630562121</v>
      </c>
      <c r="J1575" s="662">
        <v>48110.2464442329</v>
      </c>
      <c r="K1575" s="566" t="s">
        <v>2125</v>
      </c>
      <c r="L1575" s="549"/>
      <c r="M1575" s="540"/>
      <c r="O1575" s="540"/>
      <c r="S1575" s="550"/>
      <c r="T1575" s="547"/>
      <c r="U1575" s="547"/>
      <c r="V1575" s="547"/>
      <c r="W1575" s="549"/>
    </row>
    <row r="1576" spans="1:23">
      <c r="A1576" s="565">
        <v>2270</v>
      </c>
      <c r="B1576" s="696" t="s">
        <v>6982</v>
      </c>
      <c r="C1576" s="566">
        <f t="shared" si="24"/>
        <v>2270</v>
      </c>
      <c r="D1576" s="700" t="s">
        <v>2236</v>
      </c>
      <c r="E1576" s="701" t="s">
        <v>9451</v>
      </c>
      <c r="F1576" s="566">
        <v>1</v>
      </c>
      <c r="G1576" s="662">
        <v>0</v>
      </c>
      <c r="H1576" s="662">
        <v>0</v>
      </c>
      <c r="I1576" s="662">
        <v>41205.369145537094</v>
      </c>
      <c r="J1576" s="662">
        <v>44044.52662050318</v>
      </c>
      <c r="K1576" s="566" t="s">
        <v>4851</v>
      </c>
      <c r="L1576" s="549"/>
      <c r="M1576" s="540"/>
      <c r="O1576" s="540"/>
      <c r="S1576" s="550"/>
      <c r="T1576" s="547"/>
      <c r="U1576" s="547"/>
      <c r="V1576" s="547"/>
      <c r="W1576" s="549"/>
    </row>
    <row r="1577" spans="1:23">
      <c r="A1577" s="565">
        <v>2271</v>
      </c>
      <c r="B1577" s="696" t="s">
        <v>6983</v>
      </c>
      <c r="C1577" s="566">
        <f t="shared" si="24"/>
        <v>2271</v>
      </c>
      <c r="D1577" s="700" t="s">
        <v>2236</v>
      </c>
      <c r="E1577" s="701" t="s">
        <v>9452</v>
      </c>
      <c r="F1577" s="566">
        <v>1</v>
      </c>
      <c r="G1577" s="662">
        <v>0</v>
      </c>
      <c r="H1577" s="662">
        <v>0</v>
      </c>
      <c r="I1577" s="662">
        <v>41551.711549158688</v>
      </c>
      <c r="J1577" s="662">
        <v>44413.315914162733</v>
      </c>
      <c r="K1577" s="566" t="s">
        <v>4852</v>
      </c>
      <c r="L1577" s="549"/>
      <c r="M1577" s="540"/>
      <c r="O1577" s="540"/>
      <c r="S1577" s="550"/>
      <c r="T1577" s="547"/>
      <c r="U1577" s="547"/>
      <c r="V1577" s="547"/>
      <c r="W1577" s="549"/>
    </row>
    <row r="1578" spans="1:23">
      <c r="A1578" s="565">
        <v>2272</v>
      </c>
      <c r="B1578" s="696" t="s">
        <v>6984</v>
      </c>
      <c r="C1578" s="566">
        <f t="shared" si="24"/>
        <v>2272</v>
      </c>
      <c r="D1578" s="700" t="s">
        <v>2236</v>
      </c>
      <c r="E1578" s="701" t="s">
        <v>9453</v>
      </c>
      <c r="F1578" s="566">
        <v>1</v>
      </c>
      <c r="G1578" s="662">
        <v>0</v>
      </c>
      <c r="H1578" s="662">
        <v>0</v>
      </c>
      <c r="I1578" s="662">
        <v>0</v>
      </c>
      <c r="J1578" s="662">
        <v>44947.022990652025</v>
      </c>
      <c r="K1578" s="566" t="s">
        <v>4853</v>
      </c>
      <c r="L1578" s="549"/>
      <c r="M1578" s="540"/>
      <c r="O1578" s="540"/>
      <c r="S1578" s="550"/>
      <c r="T1578" s="547"/>
      <c r="U1578" s="547"/>
      <c r="V1578" s="547"/>
      <c r="W1578" s="549"/>
    </row>
    <row r="1579" spans="1:23">
      <c r="A1579" s="565">
        <v>2273</v>
      </c>
      <c r="B1579" s="695" t="s">
        <v>6985</v>
      </c>
      <c r="C1579" s="566">
        <f t="shared" si="24"/>
        <v>2273</v>
      </c>
      <c r="D1579" s="699" t="s">
        <v>2236</v>
      </c>
      <c r="E1579" s="701" t="s">
        <v>9454</v>
      </c>
      <c r="F1579" s="567">
        <v>1</v>
      </c>
      <c r="G1579" s="662">
        <v>0</v>
      </c>
      <c r="H1579" s="662">
        <v>0</v>
      </c>
      <c r="I1579" s="662">
        <v>37453.195874204182</v>
      </c>
      <c r="J1579" s="662">
        <v>40015.508372035627</v>
      </c>
      <c r="K1579" s="568" t="s">
        <v>4854</v>
      </c>
      <c r="L1579" s="549"/>
      <c r="M1579" s="540"/>
      <c r="O1579" s="540"/>
      <c r="S1579" s="550"/>
      <c r="T1579" s="547"/>
      <c r="U1579" s="547"/>
      <c r="V1579" s="547"/>
      <c r="W1579" s="549"/>
    </row>
    <row r="1580" spans="1:23">
      <c r="A1580" s="565">
        <v>2274</v>
      </c>
      <c r="B1580" s="695" t="s">
        <v>6986</v>
      </c>
      <c r="C1580" s="566">
        <f t="shared" si="24"/>
        <v>2274</v>
      </c>
      <c r="D1580" s="699" t="s">
        <v>2236</v>
      </c>
      <c r="E1580" s="701" t="s">
        <v>9455</v>
      </c>
      <c r="F1580" s="567">
        <v>1</v>
      </c>
      <c r="G1580" s="662">
        <v>0</v>
      </c>
      <c r="H1580" s="662">
        <v>0</v>
      </c>
      <c r="I1580" s="662">
        <v>37850.769723762714</v>
      </c>
      <c r="J1580" s="662">
        <v>40439.270259971752</v>
      </c>
      <c r="K1580" s="568" t="s">
        <v>4855</v>
      </c>
      <c r="L1580" s="549"/>
      <c r="M1580" s="540"/>
      <c r="O1580" s="540"/>
      <c r="S1580" s="550"/>
      <c r="T1580" s="547"/>
      <c r="U1580" s="547"/>
      <c r="V1580" s="547"/>
      <c r="W1580" s="549"/>
    </row>
    <row r="1581" spans="1:23">
      <c r="A1581" s="565">
        <v>2275</v>
      </c>
      <c r="B1581" s="696" t="s">
        <v>6987</v>
      </c>
      <c r="C1581" s="566">
        <f t="shared" si="24"/>
        <v>2275</v>
      </c>
      <c r="D1581" s="700" t="s">
        <v>2236</v>
      </c>
      <c r="E1581" s="701" t="s">
        <v>9456</v>
      </c>
      <c r="F1581" s="566">
        <v>2</v>
      </c>
      <c r="G1581" s="662">
        <v>22414.909001861</v>
      </c>
      <c r="H1581" s="662">
        <v>23269.133123169908</v>
      </c>
      <c r="I1581" s="662">
        <v>0</v>
      </c>
      <c r="J1581" s="662">
        <v>0</v>
      </c>
      <c r="K1581" s="566" t="s">
        <v>4856</v>
      </c>
      <c r="L1581" s="549"/>
      <c r="M1581" s="540"/>
      <c r="O1581" s="540"/>
      <c r="S1581" s="550"/>
      <c r="T1581" s="547"/>
      <c r="U1581" s="547"/>
      <c r="V1581" s="547"/>
      <c r="W1581" s="549"/>
    </row>
    <row r="1582" spans="1:23">
      <c r="A1582" s="565">
        <v>2276</v>
      </c>
      <c r="B1582" s="696" t="s">
        <v>6988</v>
      </c>
      <c r="C1582" s="566">
        <f t="shared" si="24"/>
        <v>2276</v>
      </c>
      <c r="D1582" s="700" t="s">
        <v>2236</v>
      </c>
      <c r="E1582" s="701" t="s">
        <v>9457</v>
      </c>
      <c r="F1582" s="566">
        <v>1</v>
      </c>
      <c r="G1582" s="662">
        <v>24075.402141514878</v>
      </c>
      <c r="H1582" s="662">
        <v>24925.339283654943</v>
      </c>
      <c r="I1582" s="662">
        <v>25820.018871098167</v>
      </c>
      <c r="J1582" s="662">
        <v>26761.811364522859</v>
      </c>
      <c r="K1582" s="566" t="s">
        <v>2126</v>
      </c>
      <c r="L1582" s="549"/>
      <c r="M1582" s="540"/>
      <c r="O1582" s="540"/>
      <c r="S1582" s="550"/>
      <c r="T1582" s="547"/>
      <c r="U1582" s="547"/>
      <c r="V1582" s="547"/>
      <c r="W1582" s="549"/>
    </row>
    <row r="1583" spans="1:23">
      <c r="A1583" s="565">
        <v>2277</v>
      </c>
      <c r="B1583" s="696" t="s">
        <v>6989</v>
      </c>
      <c r="C1583" s="566">
        <f t="shared" si="24"/>
        <v>2277</v>
      </c>
      <c r="D1583" s="700" t="s">
        <v>2236</v>
      </c>
      <c r="E1583" s="701" t="s">
        <v>9458</v>
      </c>
      <c r="F1583" s="566">
        <v>1</v>
      </c>
      <c r="G1583" s="662">
        <v>0</v>
      </c>
      <c r="H1583" s="662">
        <v>33794.167040486267</v>
      </c>
      <c r="I1583" s="662">
        <v>0</v>
      </c>
      <c r="J1583" s="662">
        <v>0</v>
      </c>
      <c r="K1583" s="566" t="s">
        <v>3172</v>
      </c>
      <c r="L1583" s="549"/>
      <c r="M1583" s="540"/>
      <c r="O1583" s="540"/>
      <c r="S1583" s="550"/>
      <c r="T1583" s="547"/>
      <c r="U1583" s="547"/>
      <c r="V1583" s="547"/>
      <c r="W1583" s="549"/>
    </row>
    <row r="1584" spans="1:23">
      <c r="A1584" s="565">
        <v>2278</v>
      </c>
      <c r="B1584" s="695" t="s">
        <v>6990</v>
      </c>
      <c r="C1584" s="566">
        <f t="shared" si="24"/>
        <v>2278</v>
      </c>
      <c r="D1584" s="699" t="s">
        <v>2236</v>
      </c>
      <c r="E1584" s="701" t="s">
        <v>9459</v>
      </c>
      <c r="F1584" s="567">
        <v>1</v>
      </c>
      <c r="G1584" s="662">
        <v>27858.614148479024</v>
      </c>
      <c r="H1584" s="662">
        <v>0</v>
      </c>
      <c r="I1584" s="662">
        <v>0</v>
      </c>
      <c r="J1584" s="662">
        <v>0</v>
      </c>
      <c r="K1584" s="568" t="s">
        <v>5310</v>
      </c>
      <c r="L1584" s="549"/>
      <c r="M1584" s="540"/>
      <c r="O1584" s="540"/>
      <c r="S1584" s="550"/>
      <c r="T1584" s="547"/>
      <c r="U1584" s="547"/>
      <c r="V1584" s="547"/>
      <c r="W1584" s="549"/>
    </row>
    <row r="1585" spans="1:23">
      <c r="A1585" s="565">
        <v>2279</v>
      </c>
      <c r="B1585" s="695" t="s">
        <v>6991</v>
      </c>
      <c r="C1585" s="566">
        <f t="shared" si="24"/>
        <v>2279</v>
      </c>
      <c r="D1585" s="699" t="s">
        <v>2237</v>
      </c>
      <c r="E1585" s="701" t="s">
        <v>9460</v>
      </c>
      <c r="F1585" s="567">
        <v>1</v>
      </c>
      <c r="G1585" s="662">
        <v>0</v>
      </c>
      <c r="H1585" s="662">
        <v>0</v>
      </c>
      <c r="I1585" s="662">
        <v>0</v>
      </c>
      <c r="J1585" s="662">
        <v>18746.96324515259</v>
      </c>
      <c r="K1585" s="568" t="s">
        <v>4857</v>
      </c>
      <c r="L1585" s="549"/>
      <c r="M1585" s="540"/>
      <c r="O1585" s="540"/>
      <c r="S1585" s="550"/>
      <c r="T1585" s="547"/>
      <c r="U1585" s="547"/>
      <c r="V1585" s="547"/>
      <c r="W1585" s="549"/>
    </row>
    <row r="1586" spans="1:23">
      <c r="A1586" s="565">
        <v>2280</v>
      </c>
      <c r="B1586" s="696" t="s">
        <v>6992</v>
      </c>
      <c r="C1586" s="566">
        <f t="shared" si="24"/>
        <v>2280</v>
      </c>
      <c r="D1586" s="700" t="s">
        <v>2237</v>
      </c>
      <c r="E1586" s="701" t="s">
        <v>9461</v>
      </c>
      <c r="F1586" s="566">
        <v>1</v>
      </c>
      <c r="G1586" s="662">
        <v>0</v>
      </c>
      <c r="H1586" s="662">
        <v>0</v>
      </c>
      <c r="I1586" s="662">
        <v>20318.762902476185</v>
      </c>
      <c r="J1586" s="662">
        <v>20789.058398774418</v>
      </c>
      <c r="K1586" s="566" t="s">
        <v>4116</v>
      </c>
      <c r="L1586" s="549"/>
      <c r="M1586" s="540"/>
      <c r="O1586" s="540"/>
      <c r="S1586" s="550"/>
      <c r="T1586" s="547"/>
      <c r="U1586" s="547"/>
      <c r="V1586" s="547"/>
      <c r="W1586" s="549"/>
    </row>
    <row r="1587" spans="1:23">
      <c r="A1587" s="565">
        <v>2281</v>
      </c>
      <c r="B1587" s="695" t="s">
        <v>6993</v>
      </c>
      <c r="C1587" s="566">
        <f t="shared" si="24"/>
        <v>2281</v>
      </c>
      <c r="D1587" s="699" t="s">
        <v>2237</v>
      </c>
      <c r="E1587" s="701" t="s">
        <v>9462</v>
      </c>
      <c r="F1587" s="567">
        <v>1</v>
      </c>
      <c r="G1587" s="662">
        <v>0</v>
      </c>
      <c r="H1587" s="662">
        <v>0</v>
      </c>
      <c r="I1587" s="662">
        <v>0</v>
      </c>
      <c r="J1587" s="662">
        <v>22508.975539730363</v>
      </c>
      <c r="K1587" s="568" t="s">
        <v>4858</v>
      </c>
      <c r="L1587" s="549"/>
      <c r="M1587" s="540"/>
      <c r="O1587" s="540"/>
      <c r="S1587" s="550"/>
      <c r="T1587" s="547"/>
      <c r="U1587" s="547"/>
      <c r="V1587" s="547"/>
      <c r="W1587" s="549"/>
    </row>
    <row r="1588" spans="1:23">
      <c r="A1588" s="565">
        <v>2282</v>
      </c>
      <c r="B1588" s="696" t="s">
        <v>6994</v>
      </c>
      <c r="C1588" s="566">
        <f t="shared" si="24"/>
        <v>2282</v>
      </c>
      <c r="D1588" s="700" t="s">
        <v>2237</v>
      </c>
      <c r="E1588" s="701" t="s">
        <v>9463</v>
      </c>
      <c r="F1588" s="566">
        <v>1</v>
      </c>
      <c r="G1588" s="662">
        <v>18853.846526317313</v>
      </c>
      <c r="H1588" s="662">
        <v>20429.995039013567</v>
      </c>
      <c r="I1588" s="662">
        <v>0</v>
      </c>
      <c r="J1588" s="662">
        <v>0</v>
      </c>
      <c r="K1588" s="566" t="s">
        <v>2127</v>
      </c>
      <c r="L1588" s="549"/>
      <c r="M1588" s="540"/>
      <c r="O1588" s="540"/>
      <c r="S1588" s="550"/>
      <c r="T1588" s="547"/>
      <c r="U1588" s="547"/>
      <c r="V1588" s="547"/>
      <c r="W1588" s="549"/>
    </row>
    <row r="1589" spans="1:23">
      <c r="A1589" s="565">
        <v>2283</v>
      </c>
      <c r="B1589" s="696" t="s">
        <v>6995</v>
      </c>
      <c r="C1589" s="566">
        <f t="shared" si="24"/>
        <v>2283</v>
      </c>
      <c r="D1589" s="700" t="s">
        <v>2237</v>
      </c>
      <c r="E1589" s="701" t="s">
        <v>9464</v>
      </c>
      <c r="F1589" s="566">
        <v>1</v>
      </c>
      <c r="G1589" s="662">
        <v>20831.867502403031</v>
      </c>
      <c r="H1589" s="662">
        <v>0</v>
      </c>
      <c r="I1589" s="662">
        <v>0</v>
      </c>
      <c r="J1589" s="662">
        <v>0</v>
      </c>
      <c r="K1589" s="566" t="s">
        <v>5311</v>
      </c>
      <c r="L1589" s="549"/>
      <c r="M1589" s="540"/>
      <c r="O1589" s="540"/>
      <c r="S1589" s="550"/>
      <c r="T1589" s="547"/>
      <c r="U1589" s="547"/>
      <c r="V1589" s="547"/>
      <c r="W1589" s="549"/>
    </row>
    <row r="1590" spans="1:23">
      <c r="A1590" s="565">
        <v>2284</v>
      </c>
      <c r="B1590" s="696" t="s">
        <v>6996</v>
      </c>
      <c r="C1590" s="566">
        <f t="shared" si="24"/>
        <v>2284</v>
      </c>
      <c r="D1590" s="700" t="s">
        <v>2237</v>
      </c>
      <c r="E1590" s="701" t="s">
        <v>9465</v>
      </c>
      <c r="F1590" s="566">
        <v>1</v>
      </c>
      <c r="G1590" s="662">
        <v>18973.713249511457</v>
      </c>
      <c r="H1590" s="662">
        <v>0</v>
      </c>
      <c r="I1590" s="662">
        <v>0</v>
      </c>
      <c r="J1590" s="662">
        <v>0</v>
      </c>
      <c r="K1590" s="566" t="s">
        <v>5312</v>
      </c>
      <c r="L1590" s="549"/>
      <c r="M1590" s="540"/>
      <c r="O1590" s="540"/>
      <c r="S1590" s="550"/>
      <c r="T1590" s="547"/>
      <c r="U1590" s="547"/>
      <c r="V1590" s="547"/>
      <c r="W1590" s="549"/>
    </row>
    <row r="1591" spans="1:23">
      <c r="A1591" s="565">
        <v>2285</v>
      </c>
      <c r="B1591" s="696" t="s">
        <v>6997</v>
      </c>
      <c r="C1591" s="566">
        <f t="shared" si="24"/>
        <v>2285</v>
      </c>
      <c r="D1591" s="700" t="s">
        <v>2237</v>
      </c>
      <c r="E1591" s="701" t="s">
        <v>9466</v>
      </c>
      <c r="F1591" s="566">
        <v>2</v>
      </c>
      <c r="G1591" s="662">
        <v>20335.729809111188</v>
      </c>
      <c r="H1591" s="662">
        <v>21017.911367887435</v>
      </c>
      <c r="I1591" s="662">
        <v>21735.961031467472</v>
      </c>
      <c r="J1591" s="662">
        <v>22491.826907779938</v>
      </c>
      <c r="K1591" s="566" t="s">
        <v>2128</v>
      </c>
      <c r="L1591" s="549"/>
      <c r="M1591" s="540"/>
      <c r="O1591" s="540"/>
      <c r="S1591" s="550"/>
      <c r="T1591" s="547"/>
      <c r="U1591" s="547"/>
      <c r="V1591" s="547"/>
      <c r="W1591" s="549"/>
    </row>
    <row r="1592" spans="1:23">
      <c r="A1592" s="565">
        <v>2286</v>
      </c>
      <c r="B1592" s="696" t="s">
        <v>6998</v>
      </c>
      <c r="C1592" s="566">
        <f t="shared" si="24"/>
        <v>2286</v>
      </c>
      <c r="D1592" s="700" t="s">
        <v>2237</v>
      </c>
      <c r="E1592" s="701" t="s">
        <v>9467</v>
      </c>
      <c r="F1592" s="566">
        <v>2</v>
      </c>
      <c r="G1592" s="662">
        <v>23424.803470700161</v>
      </c>
      <c r="H1592" s="662">
        <v>24233.95582859014</v>
      </c>
      <c r="I1592" s="662">
        <v>25085.680074450116</v>
      </c>
      <c r="J1592" s="662">
        <v>25982.268099960842</v>
      </c>
      <c r="K1592" s="566" t="s">
        <v>2129</v>
      </c>
      <c r="L1592" s="549"/>
      <c r="M1592" s="540"/>
      <c r="O1592" s="540"/>
      <c r="S1592" s="550"/>
      <c r="T1592" s="547"/>
      <c r="U1592" s="547"/>
      <c r="V1592" s="547"/>
      <c r="W1592" s="549"/>
    </row>
    <row r="1593" spans="1:23">
      <c r="A1593" s="565">
        <v>2287</v>
      </c>
      <c r="B1593" s="696" t="s">
        <v>6999</v>
      </c>
      <c r="C1593" s="566">
        <f t="shared" si="24"/>
        <v>2287</v>
      </c>
      <c r="D1593" s="700" t="s">
        <v>2237</v>
      </c>
      <c r="E1593" s="701" t="s">
        <v>9468</v>
      </c>
      <c r="F1593" s="566">
        <v>2</v>
      </c>
      <c r="G1593" s="662">
        <v>25868.257585665979</v>
      </c>
      <c r="H1593" s="662">
        <v>26777.852096464976</v>
      </c>
      <c r="I1593" s="662">
        <v>27735.289846099702</v>
      </c>
      <c r="J1593" s="662">
        <v>28743.149212711003</v>
      </c>
      <c r="K1593" s="566" t="s">
        <v>2130</v>
      </c>
      <c r="L1593" s="549"/>
      <c r="M1593" s="540"/>
      <c r="O1593" s="540"/>
      <c r="S1593" s="550"/>
      <c r="T1593" s="547"/>
      <c r="U1593" s="547"/>
      <c r="V1593" s="547"/>
      <c r="W1593" s="549"/>
    </row>
    <row r="1594" spans="1:23">
      <c r="A1594" s="565">
        <v>2288</v>
      </c>
      <c r="B1594" s="696" t="s">
        <v>7000</v>
      </c>
      <c r="C1594" s="566">
        <f t="shared" si="24"/>
        <v>2288</v>
      </c>
      <c r="D1594" s="700" t="s">
        <v>2237</v>
      </c>
      <c r="E1594" s="701" t="s">
        <v>9469</v>
      </c>
      <c r="F1594" s="566">
        <v>2</v>
      </c>
      <c r="G1594" s="662">
        <v>18059.066309601611</v>
      </c>
      <c r="H1594" s="662">
        <v>18651.061930740208</v>
      </c>
      <c r="I1594" s="662">
        <v>19274.227278737053</v>
      </c>
      <c r="J1594" s="662">
        <v>19930.223975060686</v>
      </c>
      <c r="K1594" s="566" t="s">
        <v>2131</v>
      </c>
      <c r="L1594" s="549"/>
      <c r="M1594" s="540"/>
      <c r="O1594" s="540"/>
      <c r="S1594" s="550"/>
      <c r="T1594" s="547"/>
      <c r="U1594" s="547"/>
      <c r="V1594" s="547"/>
      <c r="W1594" s="549"/>
    </row>
    <row r="1595" spans="1:23">
      <c r="A1595" s="565">
        <v>2289</v>
      </c>
      <c r="B1595" s="695" t="s">
        <v>7001</v>
      </c>
      <c r="C1595" s="566">
        <f t="shared" si="24"/>
        <v>2289</v>
      </c>
      <c r="D1595" s="699" t="s">
        <v>2237</v>
      </c>
      <c r="E1595" s="701" t="s">
        <v>9470</v>
      </c>
      <c r="F1595" s="567">
        <v>2</v>
      </c>
      <c r="G1595" s="662">
        <v>21410.715529722544</v>
      </c>
      <c r="H1595" s="662">
        <v>22140.511138166439</v>
      </c>
      <c r="I1595" s="662">
        <v>22908.695932262952</v>
      </c>
      <c r="J1595" s="662">
        <v>23717.332614524767</v>
      </c>
      <c r="K1595" s="568" t="s">
        <v>2132</v>
      </c>
      <c r="L1595" s="549"/>
      <c r="M1595" s="540"/>
      <c r="O1595" s="540"/>
      <c r="S1595" s="550"/>
      <c r="T1595" s="547"/>
      <c r="U1595" s="547"/>
      <c r="V1595" s="547"/>
      <c r="W1595" s="549"/>
    </row>
    <row r="1596" spans="1:23">
      <c r="A1596" s="565">
        <v>2290</v>
      </c>
      <c r="B1596" s="696" t="s">
        <v>7002</v>
      </c>
      <c r="C1596" s="566">
        <f t="shared" si="24"/>
        <v>2290</v>
      </c>
      <c r="D1596" s="700" t="s">
        <v>2237</v>
      </c>
      <c r="E1596" s="701" t="s">
        <v>9471</v>
      </c>
      <c r="F1596" s="566">
        <v>2</v>
      </c>
      <c r="G1596" s="662">
        <v>23081.915553614122</v>
      </c>
      <c r="H1596" s="662">
        <v>23880.410615188601</v>
      </c>
      <c r="I1596" s="662">
        <v>24720.904591812883</v>
      </c>
      <c r="J1596" s="662">
        <v>25605.632077875711</v>
      </c>
      <c r="K1596" s="566" t="s">
        <v>2133</v>
      </c>
      <c r="L1596" s="549"/>
      <c r="M1596" s="540"/>
      <c r="O1596" s="540"/>
      <c r="S1596" s="550"/>
      <c r="T1596" s="547"/>
      <c r="U1596" s="547"/>
      <c r="V1596" s="547"/>
      <c r="W1596" s="549"/>
    </row>
    <row r="1597" spans="1:23">
      <c r="A1597" s="565">
        <v>2291</v>
      </c>
      <c r="B1597" s="696" t="s">
        <v>7003</v>
      </c>
      <c r="C1597" s="566">
        <f t="shared" si="24"/>
        <v>2291</v>
      </c>
      <c r="D1597" s="700" t="s">
        <v>2237</v>
      </c>
      <c r="E1597" s="701" t="s">
        <v>9472</v>
      </c>
      <c r="F1597" s="566">
        <v>1</v>
      </c>
      <c r="G1597" s="662">
        <v>10545.235629615088</v>
      </c>
      <c r="H1597" s="662">
        <v>10826.273492052404</v>
      </c>
      <c r="I1597" s="662">
        <v>0</v>
      </c>
      <c r="J1597" s="662">
        <v>0</v>
      </c>
      <c r="K1597" s="566" t="s">
        <v>2134</v>
      </c>
      <c r="L1597" s="549"/>
      <c r="M1597" s="540"/>
      <c r="O1597" s="540"/>
      <c r="S1597" s="550"/>
      <c r="T1597" s="547"/>
      <c r="U1597" s="547"/>
      <c r="V1597" s="547"/>
      <c r="W1597" s="549"/>
    </row>
    <row r="1598" spans="1:23">
      <c r="A1598" s="565">
        <v>2292</v>
      </c>
      <c r="B1598" s="696" t="s">
        <v>7004</v>
      </c>
      <c r="C1598" s="566">
        <f t="shared" si="24"/>
        <v>2292</v>
      </c>
      <c r="D1598" s="700" t="s">
        <v>2237</v>
      </c>
      <c r="E1598" s="701" t="s">
        <v>9473</v>
      </c>
      <c r="F1598" s="566">
        <v>1</v>
      </c>
      <c r="G1598" s="662">
        <v>0</v>
      </c>
      <c r="H1598" s="662">
        <v>0</v>
      </c>
      <c r="I1598" s="662">
        <v>10693.31583201775</v>
      </c>
      <c r="J1598" s="662">
        <v>10989.617169902162</v>
      </c>
      <c r="K1598" s="566" t="s">
        <v>4117</v>
      </c>
      <c r="L1598" s="549"/>
      <c r="M1598" s="540"/>
      <c r="O1598" s="540"/>
      <c r="S1598" s="550"/>
      <c r="T1598" s="547"/>
      <c r="U1598" s="547"/>
      <c r="V1598" s="547"/>
      <c r="W1598" s="549"/>
    </row>
    <row r="1599" spans="1:23">
      <c r="A1599" s="565">
        <v>2293</v>
      </c>
      <c r="B1599" s="696" t="s">
        <v>7005</v>
      </c>
      <c r="C1599" s="566">
        <f t="shared" si="24"/>
        <v>2293</v>
      </c>
      <c r="D1599" s="700" t="s">
        <v>2237</v>
      </c>
      <c r="E1599" s="701" t="s">
        <v>9474</v>
      </c>
      <c r="F1599" s="566">
        <v>1</v>
      </c>
      <c r="G1599" s="662">
        <v>11871.96107805576</v>
      </c>
      <c r="H1599" s="662">
        <v>12204.029592275892</v>
      </c>
      <c r="I1599" s="662">
        <v>12553.54207843557</v>
      </c>
      <c r="J1599" s="662">
        <v>12921.48327688622</v>
      </c>
      <c r="K1599" s="566" t="s">
        <v>2135</v>
      </c>
      <c r="L1599" s="549"/>
      <c r="M1599" s="540"/>
      <c r="O1599" s="540"/>
      <c r="S1599" s="550"/>
      <c r="T1599" s="547"/>
      <c r="U1599" s="547"/>
      <c r="V1599" s="547"/>
      <c r="W1599" s="549"/>
    </row>
    <row r="1600" spans="1:23">
      <c r="A1600" s="565">
        <v>2294</v>
      </c>
      <c r="B1600" s="696" t="s">
        <v>7006</v>
      </c>
      <c r="C1600" s="566">
        <f t="shared" si="24"/>
        <v>2294</v>
      </c>
      <c r="D1600" s="700" t="s">
        <v>2237</v>
      </c>
      <c r="E1600" s="701" t="s">
        <v>9475</v>
      </c>
      <c r="F1600" s="566">
        <v>1</v>
      </c>
      <c r="G1600" s="662">
        <v>11291.755400805192</v>
      </c>
      <c r="H1600" s="662">
        <v>11603.707076417624</v>
      </c>
      <c r="I1600" s="662">
        <v>11932.047645021645</v>
      </c>
      <c r="J1600" s="662">
        <v>12277.691508372149</v>
      </c>
      <c r="K1600" s="566" t="s">
        <v>2136</v>
      </c>
      <c r="L1600" s="549"/>
      <c r="M1600" s="540"/>
      <c r="O1600" s="540"/>
      <c r="S1600" s="550"/>
      <c r="T1600" s="547"/>
      <c r="U1600" s="547"/>
      <c r="V1600" s="547"/>
      <c r="W1600" s="549"/>
    </row>
    <row r="1601" spans="1:23">
      <c r="A1601" s="565">
        <v>2295</v>
      </c>
      <c r="B1601" s="695" t="s">
        <v>7007</v>
      </c>
      <c r="C1601" s="566">
        <f t="shared" si="24"/>
        <v>2295</v>
      </c>
      <c r="D1601" s="699" t="s">
        <v>2237</v>
      </c>
      <c r="E1601" s="701" t="s">
        <v>9476</v>
      </c>
      <c r="F1601" s="567">
        <v>1</v>
      </c>
      <c r="G1601" s="662">
        <v>0</v>
      </c>
      <c r="H1601" s="662">
        <v>0</v>
      </c>
      <c r="I1601" s="662">
        <v>0</v>
      </c>
      <c r="J1601" s="662">
        <v>36008.423260210169</v>
      </c>
      <c r="K1601" s="568" t="s">
        <v>4859</v>
      </c>
      <c r="L1601" s="549"/>
      <c r="M1601" s="540"/>
      <c r="O1601" s="540"/>
      <c r="S1601" s="550"/>
      <c r="T1601" s="547"/>
      <c r="U1601" s="547"/>
      <c r="V1601" s="547"/>
      <c r="W1601" s="549"/>
    </row>
    <row r="1602" spans="1:23">
      <c r="A1602" s="565">
        <v>2296</v>
      </c>
      <c r="B1602" s="696" t="s">
        <v>7008</v>
      </c>
      <c r="C1602" s="566">
        <f t="shared" si="24"/>
        <v>2296</v>
      </c>
      <c r="D1602" s="700" t="s">
        <v>2237</v>
      </c>
      <c r="E1602" s="701" t="s">
        <v>9477</v>
      </c>
      <c r="F1602" s="566">
        <v>1</v>
      </c>
      <c r="G1602" s="662">
        <v>0</v>
      </c>
      <c r="H1602" s="662">
        <v>0</v>
      </c>
      <c r="I1602" s="662">
        <v>14862.424887442603</v>
      </c>
      <c r="J1602" s="662">
        <v>15305.663553479069</v>
      </c>
      <c r="K1602" s="566" t="s">
        <v>4118</v>
      </c>
      <c r="L1602" s="549"/>
      <c r="M1602" s="540"/>
      <c r="O1602" s="540"/>
      <c r="S1602" s="550"/>
      <c r="T1602" s="547"/>
      <c r="U1602" s="547"/>
      <c r="V1602" s="547"/>
      <c r="W1602" s="549"/>
    </row>
    <row r="1603" spans="1:23">
      <c r="A1603" s="565">
        <v>2297</v>
      </c>
      <c r="B1603" s="696" t="s">
        <v>7009</v>
      </c>
      <c r="C1603" s="566">
        <f t="shared" si="24"/>
        <v>2297</v>
      </c>
      <c r="D1603" s="700" t="s">
        <v>2237</v>
      </c>
      <c r="E1603" s="701" t="s">
        <v>9478</v>
      </c>
      <c r="F1603" s="566">
        <v>1</v>
      </c>
      <c r="G1603" s="662">
        <v>14762.772911105563</v>
      </c>
      <c r="H1603" s="662">
        <v>15187.336679763202</v>
      </c>
      <c r="I1603" s="662">
        <v>0</v>
      </c>
      <c r="J1603" s="662">
        <v>0</v>
      </c>
      <c r="K1603" s="566" t="s">
        <v>2137</v>
      </c>
      <c r="L1603" s="549"/>
      <c r="M1603" s="540"/>
      <c r="O1603" s="540"/>
      <c r="S1603" s="550"/>
      <c r="T1603" s="547"/>
      <c r="U1603" s="547"/>
      <c r="V1603" s="547"/>
      <c r="W1603" s="549"/>
    </row>
    <row r="1604" spans="1:23">
      <c r="A1604" s="565">
        <v>2298</v>
      </c>
      <c r="B1604" s="696" t="s">
        <v>7010</v>
      </c>
      <c r="C1604" s="566">
        <f t="shared" si="24"/>
        <v>2298</v>
      </c>
      <c r="D1604" s="700" t="s">
        <v>2237</v>
      </c>
      <c r="E1604" s="701" t="s">
        <v>9479</v>
      </c>
      <c r="F1604" s="566">
        <v>1</v>
      </c>
      <c r="G1604" s="662">
        <v>23866.372894234468</v>
      </c>
      <c r="H1604" s="662">
        <v>24586.698591786917</v>
      </c>
      <c r="I1604" s="662">
        <v>28798.506921132244</v>
      </c>
      <c r="J1604" s="662">
        <v>29778.408264964346</v>
      </c>
      <c r="K1604" s="566" t="s">
        <v>2138</v>
      </c>
      <c r="L1604" s="549"/>
      <c r="M1604" s="540"/>
      <c r="O1604" s="540"/>
      <c r="S1604" s="550"/>
      <c r="T1604" s="547"/>
      <c r="U1604" s="547"/>
      <c r="V1604" s="547"/>
      <c r="W1604" s="549"/>
    </row>
    <row r="1605" spans="1:23">
      <c r="A1605" s="565">
        <v>2299</v>
      </c>
      <c r="B1605" s="696" t="s">
        <v>7011</v>
      </c>
      <c r="C1605" s="566">
        <f t="shared" si="24"/>
        <v>2299</v>
      </c>
      <c r="D1605" s="700" t="s">
        <v>2237</v>
      </c>
      <c r="E1605" s="701" t="s">
        <v>9480</v>
      </c>
      <c r="F1605" s="566">
        <v>1</v>
      </c>
      <c r="G1605" s="662">
        <v>0</v>
      </c>
      <c r="H1605" s="662">
        <v>23284.130846200278</v>
      </c>
      <c r="I1605" s="662">
        <v>23999.734601728433</v>
      </c>
      <c r="J1605" s="662">
        <v>24753.015519658729</v>
      </c>
      <c r="K1605" s="566" t="s">
        <v>4119</v>
      </c>
      <c r="L1605" s="549"/>
      <c r="M1605" s="540"/>
      <c r="O1605" s="540"/>
      <c r="S1605" s="550"/>
      <c r="T1605" s="547"/>
      <c r="U1605" s="547"/>
      <c r="V1605" s="547"/>
      <c r="W1605" s="549"/>
    </row>
    <row r="1606" spans="1:23">
      <c r="A1606" s="565">
        <v>2300</v>
      </c>
      <c r="B1606" s="696" t="s">
        <v>7012</v>
      </c>
      <c r="C1606" s="566">
        <f t="shared" si="24"/>
        <v>2300</v>
      </c>
      <c r="D1606" s="700" t="s">
        <v>2237</v>
      </c>
      <c r="E1606" s="701" t="s">
        <v>9481</v>
      </c>
      <c r="F1606" s="566">
        <v>1</v>
      </c>
      <c r="G1606" s="662">
        <v>23769.47326307117</v>
      </c>
      <c r="H1606" s="662">
        <v>24489.143135342467</v>
      </c>
      <c r="I1606" s="662">
        <v>0</v>
      </c>
      <c r="J1606" s="662">
        <v>0</v>
      </c>
      <c r="K1606" s="566" t="s">
        <v>2139</v>
      </c>
      <c r="L1606" s="549"/>
      <c r="M1606" s="540"/>
      <c r="O1606" s="540"/>
      <c r="S1606" s="550"/>
      <c r="T1606" s="547"/>
      <c r="U1606" s="547"/>
      <c r="V1606" s="547"/>
      <c r="W1606" s="549"/>
    </row>
    <row r="1607" spans="1:23">
      <c r="A1607" s="565">
        <v>2301</v>
      </c>
      <c r="B1607" s="696" t="s">
        <v>7013</v>
      </c>
      <c r="C1607" s="566">
        <f t="shared" si="24"/>
        <v>2301</v>
      </c>
      <c r="D1607" s="700" t="s">
        <v>2237</v>
      </c>
      <c r="E1607" s="701" t="s">
        <v>9482</v>
      </c>
      <c r="F1607" s="566">
        <v>1</v>
      </c>
      <c r="G1607" s="662">
        <v>19493.604203321102</v>
      </c>
      <c r="H1607" s="662">
        <v>20052.917089067014</v>
      </c>
      <c r="I1607" s="662">
        <v>20612.229974812937</v>
      </c>
      <c r="J1607" s="662">
        <v>21200.988129616278</v>
      </c>
      <c r="K1607" s="566" t="s">
        <v>2140</v>
      </c>
      <c r="L1607" s="549"/>
      <c r="M1607" s="540"/>
      <c r="O1607" s="540"/>
      <c r="S1607" s="550"/>
      <c r="T1607" s="547"/>
      <c r="U1607" s="547"/>
      <c r="V1607" s="547"/>
      <c r="W1607" s="549"/>
    </row>
    <row r="1608" spans="1:23">
      <c r="A1608" s="565">
        <v>2302</v>
      </c>
      <c r="B1608" s="696" t="s">
        <v>7014</v>
      </c>
      <c r="C1608" s="566">
        <f t="shared" si="24"/>
        <v>2302</v>
      </c>
      <c r="D1608" s="700" t="s">
        <v>2237</v>
      </c>
      <c r="E1608" s="701" t="s">
        <v>9483</v>
      </c>
      <c r="F1608" s="566">
        <v>1</v>
      </c>
      <c r="G1608" s="662">
        <v>13551.904612762542</v>
      </c>
      <c r="H1608" s="662">
        <v>13922.532214388433</v>
      </c>
      <c r="I1608" s="662">
        <v>14312.652584130345</v>
      </c>
      <c r="J1608" s="662">
        <v>14723.325751674347</v>
      </c>
      <c r="K1608" s="566" t="s">
        <v>2141</v>
      </c>
      <c r="L1608" s="549"/>
      <c r="M1608" s="540"/>
      <c r="O1608" s="540"/>
      <c r="S1608" s="550"/>
      <c r="T1608" s="547"/>
      <c r="U1608" s="547"/>
      <c r="V1608" s="547"/>
      <c r="W1608" s="549"/>
    </row>
    <row r="1609" spans="1:23">
      <c r="A1609" s="565">
        <v>2303</v>
      </c>
      <c r="B1609" s="696" t="s">
        <v>7015</v>
      </c>
      <c r="C1609" s="566">
        <f t="shared" ref="C1609:C1672" si="25">A1609</f>
        <v>2303</v>
      </c>
      <c r="D1609" s="700" t="s">
        <v>2237</v>
      </c>
      <c r="E1609" s="701" t="s">
        <v>9484</v>
      </c>
      <c r="F1609" s="566">
        <v>1</v>
      </c>
      <c r="G1609" s="662">
        <v>0</v>
      </c>
      <c r="H1609" s="662">
        <v>0</v>
      </c>
      <c r="I1609" s="662">
        <v>0</v>
      </c>
      <c r="J1609" s="662">
        <v>18739.380914813028</v>
      </c>
      <c r="K1609" s="566" t="s">
        <v>4860</v>
      </c>
      <c r="L1609" s="549"/>
      <c r="M1609" s="540"/>
      <c r="O1609" s="540"/>
      <c r="S1609" s="550"/>
      <c r="T1609" s="547"/>
      <c r="U1609" s="547"/>
      <c r="V1609" s="547"/>
      <c r="W1609" s="549"/>
    </row>
    <row r="1610" spans="1:23">
      <c r="A1610" s="565">
        <v>2304</v>
      </c>
      <c r="B1610" s="696" t="s">
        <v>7016</v>
      </c>
      <c r="C1610" s="566">
        <f t="shared" si="25"/>
        <v>2304</v>
      </c>
      <c r="D1610" s="700" t="s">
        <v>2237</v>
      </c>
      <c r="E1610" s="701" t="s">
        <v>9485</v>
      </c>
      <c r="F1610" s="566">
        <v>1</v>
      </c>
      <c r="G1610" s="662">
        <v>14345.213514476067</v>
      </c>
      <c r="H1610" s="662">
        <v>14741.9590697559</v>
      </c>
      <c r="I1610" s="662">
        <v>15159.551875528397</v>
      </c>
      <c r="J1610" s="662">
        <v>15599.140297286796</v>
      </c>
      <c r="K1610" s="566" t="s">
        <v>2142</v>
      </c>
      <c r="L1610" s="549"/>
      <c r="M1610" s="540"/>
      <c r="O1610" s="540"/>
      <c r="S1610" s="550"/>
      <c r="T1610" s="547"/>
      <c r="U1610" s="547"/>
      <c r="V1610" s="547"/>
      <c r="W1610" s="549"/>
    </row>
    <row r="1611" spans="1:23">
      <c r="A1611" s="565">
        <v>2305</v>
      </c>
      <c r="B1611" s="696" t="s">
        <v>7017</v>
      </c>
      <c r="C1611" s="566">
        <f t="shared" si="25"/>
        <v>2305</v>
      </c>
      <c r="D1611" s="700" t="s">
        <v>2238</v>
      </c>
      <c r="E1611" s="701" t="s">
        <v>9486</v>
      </c>
      <c r="F1611" s="566">
        <v>1</v>
      </c>
      <c r="G1611" s="662">
        <v>0</v>
      </c>
      <c r="H1611" s="662">
        <v>35472.757247975089</v>
      </c>
      <c r="I1611" s="662">
        <v>36619.637160651342</v>
      </c>
      <c r="J1611" s="662">
        <v>37826.886036443691</v>
      </c>
      <c r="K1611" s="566" t="s">
        <v>4120</v>
      </c>
      <c r="L1611" s="549"/>
      <c r="M1611" s="540"/>
      <c r="O1611" s="540"/>
      <c r="S1611" s="550"/>
      <c r="T1611" s="547"/>
      <c r="U1611" s="547"/>
      <c r="V1611" s="547"/>
      <c r="W1611" s="549"/>
    </row>
    <row r="1612" spans="1:23">
      <c r="A1612" s="565">
        <v>2306</v>
      </c>
      <c r="B1612" s="695" t="s">
        <v>7018</v>
      </c>
      <c r="C1612" s="566">
        <f t="shared" si="25"/>
        <v>2306</v>
      </c>
      <c r="D1612" s="699" t="s">
        <v>2238</v>
      </c>
      <c r="E1612" s="701" t="s">
        <v>9487</v>
      </c>
      <c r="F1612" s="567">
        <v>1</v>
      </c>
      <c r="G1612" s="662">
        <v>0</v>
      </c>
      <c r="H1612" s="662">
        <v>0</v>
      </c>
      <c r="I1612" s="662">
        <v>19227.685842848674</v>
      </c>
      <c r="J1612" s="662">
        <v>19831.250107330867</v>
      </c>
      <c r="K1612" s="568" t="s">
        <v>4121</v>
      </c>
      <c r="L1612" s="549"/>
      <c r="M1612" s="540"/>
      <c r="O1612" s="540"/>
      <c r="S1612" s="550"/>
      <c r="T1612" s="547"/>
      <c r="U1612" s="547"/>
      <c r="V1612" s="547"/>
      <c r="W1612" s="549"/>
    </row>
    <row r="1613" spans="1:23">
      <c r="A1613" s="565">
        <v>2307</v>
      </c>
      <c r="B1613" s="696" t="s">
        <v>7019</v>
      </c>
      <c r="C1613" s="566">
        <f t="shared" si="25"/>
        <v>2307</v>
      </c>
      <c r="D1613" s="700" t="s">
        <v>2238</v>
      </c>
      <c r="E1613" s="701" t="s">
        <v>9488</v>
      </c>
      <c r="F1613" s="566">
        <v>1</v>
      </c>
      <c r="G1613" s="662">
        <v>0</v>
      </c>
      <c r="H1613" s="662">
        <v>0</v>
      </c>
      <c r="I1613" s="662">
        <v>20204.848788811694</v>
      </c>
      <c r="J1613" s="662">
        <v>20843.227236883798</v>
      </c>
      <c r="K1613" s="566" t="s">
        <v>4122</v>
      </c>
      <c r="L1613" s="549"/>
      <c r="M1613" s="540"/>
      <c r="O1613" s="540"/>
      <c r="S1613" s="550"/>
      <c r="T1613" s="547"/>
      <c r="U1613" s="547"/>
      <c r="V1613" s="547"/>
      <c r="W1613" s="549"/>
    </row>
    <row r="1614" spans="1:23">
      <c r="A1614" s="565">
        <v>2308</v>
      </c>
      <c r="B1614" s="696" t="s">
        <v>7020</v>
      </c>
      <c r="C1614" s="566">
        <f t="shared" si="25"/>
        <v>2308</v>
      </c>
      <c r="D1614" s="700" t="s">
        <v>2238</v>
      </c>
      <c r="E1614" s="701" t="s">
        <v>9489</v>
      </c>
      <c r="F1614" s="566">
        <v>1</v>
      </c>
      <c r="G1614" s="662">
        <v>20744.790922952627</v>
      </c>
      <c r="H1614" s="662">
        <v>21423.809601664387</v>
      </c>
      <c r="I1614" s="662">
        <v>0</v>
      </c>
      <c r="J1614" s="662">
        <v>0</v>
      </c>
      <c r="K1614" s="566" t="s">
        <v>2143</v>
      </c>
      <c r="L1614" s="549"/>
      <c r="M1614" s="540"/>
      <c r="O1614" s="540"/>
      <c r="S1614" s="550"/>
      <c r="T1614" s="547"/>
      <c r="U1614" s="547"/>
      <c r="V1614" s="547"/>
      <c r="W1614" s="549"/>
    </row>
    <row r="1615" spans="1:23">
      <c r="A1615" s="565">
        <v>2309</v>
      </c>
      <c r="B1615" s="695" t="s">
        <v>7021</v>
      </c>
      <c r="C1615" s="566">
        <f t="shared" si="25"/>
        <v>2309</v>
      </c>
      <c r="D1615" s="699" t="s">
        <v>2238</v>
      </c>
      <c r="E1615" s="701" t="s">
        <v>9490</v>
      </c>
      <c r="F1615" s="567">
        <v>1</v>
      </c>
      <c r="G1615" s="662">
        <v>0</v>
      </c>
      <c r="H1615" s="662">
        <v>0</v>
      </c>
      <c r="I1615" s="662">
        <v>22368.56674058695</v>
      </c>
      <c r="J1615" s="662">
        <v>23084.033738036709</v>
      </c>
      <c r="K1615" s="568" t="s">
        <v>4123</v>
      </c>
      <c r="L1615" s="549"/>
      <c r="M1615" s="540"/>
      <c r="O1615" s="540"/>
      <c r="S1615" s="550"/>
      <c r="T1615" s="547"/>
      <c r="U1615" s="547"/>
      <c r="V1615" s="547"/>
      <c r="W1615" s="549"/>
    </row>
    <row r="1616" spans="1:23">
      <c r="A1616" s="565">
        <v>2310</v>
      </c>
      <c r="B1616" s="696" t="s">
        <v>7022</v>
      </c>
      <c r="C1616" s="566">
        <f t="shared" si="25"/>
        <v>2310</v>
      </c>
      <c r="D1616" s="700" t="s">
        <v>2238</v>
      </c>
      <c r="E1616" s="701" t="s">
        <v>9491</v>
      </c>
      <c r="F1616" s="566">
        <v>1</v>
      </c>
      <c r="G1616" s="662">
        <v>15011.542104041626</v>
      </c>
      <c r="H1616" s="662">
        <v>15486.791234721015</v>
      </c>
      <c r="I1616" s="662">
        <v>0</v>
      </c>
      <c r="J1616" s="662">
        <v>0</v>
      </c>
      <c r="K1616" s="566" t="s">
        <v>2144</v>
      </c>
      <c r="L1616" s="549"/>
      <c r="M1616" s="540"/>
      <c r="O1616" s="540"/>
      <c r="S1616" s="550"/>
      <c r="T1616" s="547"/>
      <c r="U1616" s="547"/>
      <c r="V1616" s="547"/>
      <c r="W1616" s="549"/>
    </row>
    <row r="1617" spans="1:23">
      <c r="A1617" s="565">
        <v>2311</v>
      </c>
      <c r="B1617" s="696" t="s">
        <v>7023</v>
      </c>
      <c r="C1617" s="566">
        <f t="shared" si="25"/>
        <v>2311</v>
      </c>
      <c r="D1617" s="700" t="s">
        <v>2238</v>
      </c>
      <c r="E1617" s="701" t="s">
        <v>9492</v>
      </c>
      <c r="F1617" s="566">
        <v>1</v>
      </c>
      <c r="G1617" s="662">
        <v>0</v>
      </c>
      <c r="H1617" s="662">
        <v>0</v>
      </c>
      <c r="I1617" s="662">
        <v>17751.970373435139</v>
      </c>
      <c r="J1617" s="662">
        <v>18302.958115761139</v>
      </c>
      <c r="K1617" s="566" t="s">
        <v>4124</v>
      </c>
      <c r="L1617" s="549"/>
      <c r="M1617" s="540"/>
      <c r="O1617" s="540"/>
      <c r="S1617" s="550"/>
      <c r="T1617" s="547"/>
      <c r="U1617" s="547"/>
      <c r="V1617" s="547"/>
      <c r="W1617" s="549"/>
    </row>
    <row r="1618" spans="1:23">
      <c r="A1618" s="565">
        <v>2312</v>
      </c>
      <c r="B1618" s="695" t="s">
        <v>7024</v>
      </c>
      <c r="C1618" s="566">
        <f t="shared" si="25"/>
        <v>2312</v>
      </c>
      <c r="D1618" s="699" t="s">
        <v>2238</v>
      </c>
      <c r="E1618" s="701" t="s">
        <v>9493</v>
      </c>
      <c r="F1618" s="567">
        <v>1</v>
      </c>
      <c r="G1618" s="662">
        <v>16148.674731024692</v>
      </c>
      <c r="H1618" s="662">
        <v>16666.411375554624</v>
      </c>
      <c r="I1618" s="662">
        <v>0</v>
      </c>
      <c r="J1618" s="662">
        <v>0</v>
      </c>
      <c r="K1618" s="568" t="s">
        <v>2145</v>
      </c>
      <c r="L1618" s="549"/>
      <c r="M1618" s="540"/>
      <c r="O1618" s="540"/>
      <c r="S1618" s="550"/>
      <c r="T1618" s="547"/>
      <c r="U1618" s="547"/>
      <c r="V1618" s="547"/>
      <c r="W1618" s="549"/>
    </row>
    <row r="1619" spans="1:23">
      <c r="A1619" s="565">
        <v>2313</v>
      </c>
      <c r="B1619" s="696" t="s">
        <v>7025</v>
      </c>
      <c r="C1619" s="566">
        <f t="shared" si="25"/>
        <v>2313</v>
      </c>
      <c r="D1619" s="700" t="s">
        <v>2238</v>
      </c>
      <c r="E1619" s="701" t="s">
        <v>9494</v>
      </c>
      <c r="F1619" s="566">
        <v>1</v>
      </c>
      <c r="G1619" s="662">
        <v>16148.674731024692</v>
      </c>
      <c r="H1619" s="662">
        <v>0</v>
      </c>
      <c r="I1619" s="662">
        <v>0</v>
      </c>
      <c r="J1619" s="662">
        <v>0</v>
      </c>
      <c r="K1619" s="566" t="s">
        <v>5313</v>
      </c>
      <c r="L1619" s="549"/>
      <c r="M1619" s="540"/>
      <c r="O1619" s="540"/>
      <c r="S1619" s="550"/>
      <c r="T1619" s="547"/>
      <c r="U1619" s="547"/>
      <c r="V1619" s="547"/>
      <c r="W1619" s="549"/>
    </row>
    <row r="1620" spans="1:23">
      <c r="A1620" s="565">
        <v>2314</v>
      </c>
      <c r="B1620" s="696" t="s">
        <v>7026</v>
      </c>
      <c r="C1620" s="566">
        <f t="shared" si="25"/>
        <v>2314</v>
      </c>
      <c r="D1620" s="700" t="s">
        <v>2238</v>
      </c>
      <c r="E1620" s="701" t="s">
        <v>9495</v>
      </c>
      <c r="F1620" s="566">
        <v>1</v>
      </c>
      <c r="G1620" s="662">
        <v>17812.75479566172</v>
      </c>
      <c r="H1620" s="662">
        <v>18392.624100496498</v>
      </c>
      <c r="I1620" s="662">
        <v>0</v>
      </c>
      <c r="J1620" s="662">
        <v>0</v>
      </c>
      <c r="K1620" s="566" t="s">
        <v>2146</v>
      </c>
      <c r="L1620" s="549"/>
      <c r="M1620" s="540"/>
      <c r="O1620" s="540"/>
      <c r="S1620" s="550"/>
      <c r="T1620" s="547"/>
      <c r="U1620" s="547"/>
      <c r="V1620" s="547"/>
      <c r="W1620" s="549"/>
    </row>
    <row r="1621" spans="1:23">
      <c r="A1621" s="565">
        <v>2315</v>
      </c>
      <c r="B1621" s="696" t="s">
        <v>7027</v>
      </c>
      <c r="C1621" s="566">
        <f t="shared" si="25"/>
        <v>2315</v>
      </c>
      <c r="D1621" s="700" t="s">
        <v>2238</v>
      </c>
      <c r="E1621" s="701" t="s">
        <v>9496</v>
      </c>
      <c r="F1621" s="566">
        <v>1</v>
      </c>
      <c r="G1621" s="662">
        <v>20696.327275217551</v>
      </c>
      <c r="H1621" s="662">
        <v>21376.447218920417</v>
      </c>
      <c r="I1621" s="662">
        <v>0</v>
      </c>
      <c r="J1621" s="662">
        <v>0</v>
      </c>
      <c r="K1621" s="566" t="s">
        <v>2147</v>
      </c>
      <c r="L1621" s="549"/>
      <c r="M1621" s="540"/>
      <c r="O1621" s="540"/>
      <c r="S1621" s="550"/>
      <c r="T1621" s="547"/>
      <c r="U1621" s="547"/>
      <c r="V1621" s="547"/>
      <c r="W1621" s="549"/>
    </row>
    <row r="1622" spans="1:23">
      <c r="A1622" s="565">
        <v>2316</v>
      </c>
      <c r="B1622" s="696" t="s">
        <v>7028</v>
      </c>
      <c r="C1622" s="566">
        <f t="shared" si="25"/>
        <v>2316</v>
      </c>
      <c r="D1622" s="700" t="s">
        <v>2238</v>
      </c>
      <c r="E1622" s="701" t="s">
        <v>9497</v>
      </c>
      <c r="F1622" s="566">
        <v>1</v>
      </c>
      <c r="G1622" s="662">
        <v>0</v>
      </c>
      <c r="H1622" s="662">
        <v>27096.988103312415</v>
      </c>
      <c r="I1622" s="662">
        <v>27703.423829843192</v>
      </c>
      <c r="J1622" s="662">
        <v>28341.788945118456</v>
      </c>
      <c r="K1622" s="566" t="s">
        <v>3173</v>
      </c>
      <c r="L1622" s="549"/>
      <c r="M1622" s="540"/>
      <c r="O1622" s="540"/>
      <c r="S1622" s="550"/>
      <c r="T1622" s="547"/>
      <c r="U1622" s="547"/>
      <c r="V1622" s="547"/>
      <c r="W1622" s="549"/>
    </row>
    <row r="1623" spans="1:23">
      <c r="A1623" s="565">
        <v>2317</v>
      </c>
      <c r="B1623" s="695" t="s">
        <v>7029</v>
      </c>
      <c r="C1623" s="566">
        <f t="shared" si="25"/>
        <v>2317</v>
      </c>
      <c r="D1623" s="699" t="s">
        <v>2238</v>
      </c>
      <c r="E1623" s="701" t="s">
        <v>9498</v>
      </c>
      <c r="F1623" s="567">
        <v>1</v>
      </c>
      <c r="G1623" s="662">
        <v>0</v>
      </c>
      <c r="H1623" s="662">
        <v>29596.375040558985</v>
      </c>
      <c r="I1623" s="662">
        <v>30264.198022855857</v>
      </c>
      <c r="J1623" s="662">
        <v>30967.178958310018</v>
      </c>
      <c r="K1623" s="568" t="s">
        <v>3174</v>
      </c>
      <c r="L1623" s="549"/>
      <c r="M1623" s="540"/>
      <c r="O1623" s="540"/>
      <c r="S1623" s="550"/>
      <c r="T1623" s="547"/>
      <c r="U1623" s="547"/>
      <c r="V1623" s="547"/>
      <c r="W1623" s="549"/>
    </row>
    <row r="1624" spans="1:23">
      <c r="A1624" s="565">
        <v>2318</v>
      </c>
      <c r="B1624" s="695" t="s">
        <v>7030</v>
      </c>
      <c r="C1624" s="566">
        <f t="shared" si="25"/>
        <v>2318</v>
      </c>
      <c r="D1624" s="699" t="s">
        <v>2238</v>
      </c>
      <c r="E1624" s="701" t="s">
        <v>9499</v>
      </c>
      <c r="F1624" s="567">
        <v>2</v>
      </c>
      <c r="G1624" s="662">
        <v>24677.736584852115</v>
      </c>
      <c r="H1624" s="662">
        <v>25547.096886317599</v>
      </c>
      <c r="I1624" s="662">
        <v>26462.22736637378</v>
      </c>
      <c r="J1624" s="662">
        <v>27425.476614136889</v>
      </c>
      <c r="K1624" s="568" t="s">
        <v>2148</v>
      </c>
      <c r="L1624" s="549"/>
      <c r="M1624" s="540"/>
      <c r="O1624" s="540"/>
      <c r="S1624" s="550"/>
      <c r="T1624" s="547"/>
      <c r="U1624" s="547"/>
      <c r="V1624" s="547"/>
      <c r="W1624" s="549"/>
    </row>
    <row r="1625" spans="1:23">
      <c r="A1625" s="565">
        <v>2319</v>
      </c>
      <c r="B1625" s="695" t="s">
        <v>7031</v>
      </c>
      <c r="C1625" s="566">
        <f t="shared" si="25"/>
        <v>2319</v>
      </c>
      <c r="D1625" s="699" t="s">
        <v>2238</v>
      </c>
      <c r="E1625" s="701" t="s">
        <v>9500</v>
      </c>
      <c r="F1625" s="567">
        <v>2</v>
      </c>
      <c r="G1625" s="662">
        <v>24123.258231185289</v>
      </c>
      <c r="H1625" s="662">
        <v>24969.296496543102</v>
      </c>
      <c r="I1625" s="662">
        <v>25859.903336757739</v>
      </c>
      <c r="J1625" s="662">
        <v>26797.372722593867</v>
      </c>
      <c r="K1625" s="568" t="s">
        <v>2149</v>
      </c>
      <c r="L1625" s="549"/>
      <c r="M1625" s="540"/>
      <c r="O1625" s="540"/>
      <c r="S1625" s="550"/>
      <c r="T1625" s="547"/>
      <c r="U1625" s="547"/>
      <c r="V1625" s="547"/>
      <c r="W1625" s="549"/>
    </row>
    <row r="1626" spans="1:23">
      <c r="A1626" s="565">
        <v>2320</v>
      </c>
      <c r="B1626" s="696" t="s">
        <v>7032</v>
      </c>
      <c r="C1626" s="566">
        <f t="shared" si="25"/>
        <v>2320</v>
      </c>
      <c r="D1626" s="700" t="s">
        <v>2238</v>
      </c>
      <c r="E1626" s="701" t="s">
        <v>9501</v>
      </c>
      <c r="F1626" s="566">
        <v>2</v>
      </c>
      <c r="G1626" s="662">
        <v>13866.642342306814</v>
      </c>
      <c r="H1626" s="662">
        <v>14313.912023069575</v>
      </c>
      <c r="I1626" s="662">
        <v>14784.722213346169</v>
      </c>
      <c r="J1626" s="662">
        <v>15280.329135222013</v>
      </c>
      <c r="K1626" s="566" t="s">
        <v>2150</v>
      </c>
      <c r="L1626" s="549"/>
      <c r="M1626" s="540"/>
      <c r="O1626" s="540"/>
      <c r="S1626" s="550"/>
      <c r="T1626" s="547"/>
      <c r="U1626" s="547"/>
      <c r="V1626" s="547"/>
      <c r="W1626" s="549"/>
    </row>
    <row r="1627" spans="1:23">
      <c r="A1627" s="565">
        <v>2321</v>
      </c>
      <c r="B1627" s="695" t="s">
        <v>7033</v>
      </c>
      <c r="C1627" s="566">
        <f t="shared" si="25"/>
        <v>2321</v>
      </c>
      <c r="D1627" s="699" t="s">
        <v>2238</v>
      </c>
      <c r="E1627" s="701" t="s">
        <v>9502</v>
      </c>
      <c r="F1627" s="567">
        <v>2</v>
      </c>
      <c r="G1627" s="662">
        <v>14221.255386251518</v>
      </c>
      <c r="H1627" s="662">
        <v>14684.09129720324</v>
      </c>
      <c r="I1627" s="662">
        <v>15171.23237459035</v>
      </c>
      <c r="J1627" s="662">
        <v>15684.044077201366</v>
      </c>
      <c r="K1627" s="568" t="s">
        <v>2151</v>
      </c>
      <c r="L1627" s="549"/>
      <c r="M1627" s="540"/>
      <c r="O1627" s="540"/>
      <c r="S1627" s="550"/>
      <c r="T1627" s="547"/>
      <c r="U1627" s="547"/>
      <c r="V1627" s="547"/>
      <c r="W1627" s="549"/>
    </row>
    <row r="1628" spans="1:23">
      <c r="A1628" s="565">
        <v>2322</v>
      </c>
      <c r="B1628" s="696" t="s">
        <v>7034</v>
      </c>
      <c r="C1628" s="566">
        <f t="shared" si="25"/>
        <v>2322</v>
      </c>
      <c r="D1628" s="700" t="s">
        <v>2238</v>
      </c>
      <c r="E1628" s="701" t="s">
        <v>9503</v>
      </c>
      <c r="F1628" s="566">
        <v>2</v>
      </c>
      <c r="G1628" s="662">
        <v>14504.718694991965</v>
      </c>
      <c r="H1628" s="662">
        <v>14979.352169876372</v>
      </c>
      <c r="I1628" s="662">
        <v>15478.891613063115</v>
      </c>
      <c r="J1628" s="662">
        <v>16004.757101692237</v>
      </c>
      <c r="K1628" s="566" t="s">
        <v>2152</v>
      </c>
      <c r="L1628" s="549"/>
      <c r="M1628" s="540"/>
      <c r="O1628" s="540"/>
      <c r="S1628" s="550"/>
      <c r="T1628" s="547"/>
      <c r="U1628" s="547"/>
      <c r="V1628" s="547"/>
      <c r="W1628" s="549"/>
    </row>
    <row r="1629" spans="1:23">
      <c r="A1629" s="565">
        <v>2323</v>
      </c>
      <c r="B1629" s="695" t="s">
        <v>7035</v>
      </c>
      <c r="C1629" s="566">
        <f t="shared" si="25"/>
        <v>2323</v>
      </c>
      <c r="D1629" s="699" t="s">
        <v>2238</v>
      </c>
      <c r="E1629" s="701" t="s">
        <v>9504</v>
      </c>
      <c r="F1629" s="567">
        <v>2</v>
      </c>
      <c r="G1629" s="662">
        <v>11010.704856691942</v>
      </c>
      <c r="H1629" s="662">
        <v>11326.125836836638</v>
      </c>
      <c r="I1629" s="662">
        <v>11641.546816981338</v>
      </c>
      <c r="J1629" s="662">
        <v>11973.571775994262</v>
      </c>
      <c r="K1629" s="568" t="s">
        <v>2153</v>
      </c>
      <c r="L1629" s="549"/>
      <c r="M1629" s="540"/>
      <c r="O1629" s="540"/>
      <c r="S1629" s="550"/>
      <c r="T1629" s="547"/>
      <c r="U1629" s="547"/>
      <c r="V1629" s="547"/>
      <c r="W1629" s="549"/>
    </row>
    <row r="1630" spans="1:23">
      <c r="A1630" s="565">
        <v>2324</v>
      </c>
      <c r="B1630" s="696" t="s">
        <v>7036</v>
      </c>
      <c r="C1630" s="566">
        <f t="shared" si="25"/>
        <v>2324</v>
      </c>
      <c r="D1630" s="700" t="s">
        <v>2238</v>
      </c>
      <c r="E1630" s="701" t="s">
        <v>9505</v>
      </c>
      <c r="F1630" s="566">
        <v>2</v>
      </c>
      <c r="G1630" s="662">
        <v>14970.139551100408</v>
      </c>
      <c r="H1630" s="662">
        <v>15452.856542012765</v>
      </c>
      <c r="I1630" s="662">
        <v>15973.205577136327</v>
      </c>
      <c r="J1630" s="662">
        <v>16520.97302473307</v>
      </c>
      <c r="K1630" s="566" t="s">
        <v>2154</v>
      </c>
      <c r="L1630" s="549"/>
      <c r="M1630" s="540"/>
      <c r="O1630" s="540"/>
      <c r="S1630" s="550"/>
      <c r="T1630" s="547"/>
      <c r="U1630" s="547"/>
      <c r="V1630" s="547"/>
      <c r="W1630" s="549"/>
    </row>
    <row r="1631" spans="1:23">
      <c r="A1631" s="565">
        <v>2325</v>
      </c>
      <c r="B1631" s="696" t="s">
        <v>7037</v>
      </c>
      <c r="C1631" s="566">
        <f t="shared" si="25"/>
        <v>2325</v>
      </c>
      <c r="D1631" s="700" t="s">
        <v>2238</v>
      </c>
      <c r="E1631" s="701" t="s">
        <v>9506</v>
      </c>
      <c r="F1631" s="566">
        <v>2</v>
      </c>
      <c r="G1631" s="662">
        <v>14312.092177660454</v>
      </c>
      <c r="H1631" s="662">
        <v>14778.915228274607</v>
      </c>
      <c r="I1631" s="662">
        <v>15270.261918730319</v>
      </c>
      <c r="J1631" s="662">
        <v>15787.497707816088</v>
      </c>
      <c r="K1631" s="566" t="s">
        <v>2155</v>
      </c>
      <c r="L1631" s="549"/>
      <c r="M1631" s="540"/>
      <c r="O1631" s="540"/>
      <c r="S1631" s="550"/>
      <c r="T1631" s="547"/>
      <c r="U1631" s="547"/>
      <c r="V1631" s="547"/>
      <c r="W1631" s="549"/>
    </row>
    <row r="1632" spans="1:23">
      <c r="A1632" s="565">
        <v>2326</v>
      </c>
      <c r="B1632" s="696" t="s">
        <v>7038</v>
      </c>
      <c r="C1632" s="566">
        <f t="shared" si="25"/>
        <v>2326</v>
      </c>
      <c r="D1632" s="700" t="s">
        <v>2238</v>
      </c>
      <c r="E1632" s="701" t="s">
        <v>9507</v>
      </c>
      <c r="F1632" s="566">
        <v>2</v>
      </c>
      <c r="G1632" s="662">
        <v>14675.821671756974</v>
      </c>
      <c r="H1632" s="662">
        <v>15158.538662669331</v>
      </c>
      <c r="I1632" s="662">
        <v>15666.653187047885</v>
      </c>
      <c r="J1632" s="662">
        <v>16201.530703681137</v>
      </c>
      <c r="K1632" s="566" t="s">
        <v>2156</v>
      </c>
      <c r="L1632" s="549"/>
      <c r="M1632" s="540"/>
      <c r="O1632" s="540"/>
      <c r="S1632" s="550"/>
      <c r="T1632" s="547"/>
      <c r="U1632" s="547"/>
      <c r="V1632" s="547"/>
      <c r="W1632" s="549"/>
    </row>
    <row r="1633" spans="1:23">
      <c r="A1633" s="565">
        <v>2327</v>
      </c>
      <c r="B1633" s="696" t="s">
        <v>7039</v>
      </c>
      <c r="C1633" s="566">
        <f t="shared" si="25"/>
        <v>2327</v>
      </c>
      <c r="D1633" s="700" t="s">
        <v>2238</v>
      </c>
      <c r="E1633" s="701" t="s">
        <v>9508</v>
      </c>
      <c r="F1633" s="566">
        <v>2</v>
      </c>
      <c r="G1633" s="662">
        <v>29555.554649970734</v>
      </c>
      <c r="H1633" s="662">
        <v>30427.683401612474</v>
      </c>
      <c r="I1633" s="662">
        <v>31345.706149464848</v>
      </c>
      <c r="J1633" s="662">
        <v>32312.050895402073</v>
      </c>
      <c r="K1633" s="566" t="s">
        <v>2157</v>
      </c>
      <c r="L1633" s="549"/>
      <c r="M1633" s="540"/>
      <c r="O1633" s="540"/>
      <c r="S1633" s="550"/>
      <c r="T1633" s="547"/>
      <c r="U1633" s="547"/>
      <c r="V1633" s="547"/>
      <c r="W1633" s="549"/>
    </row>
    <row r="1634" spans="1:23">
      <c r="A1634" s="565">
        <v>2328</v>
      </c>
      <c r="B1634" s="696" t="s">
        <v>7040</v>
      </c>
      <c r="C1634" s="566">
        <f t="shared" si="25"/>
        <v>2328</v>
      </c>
      <c r="D1634" s="700" t="s">
        <v>2238</v>
      </c>
      <c r="E1634" s="701" t="s">
        <v>9509</v>
      </c>
      <c r="F1634" s="566">
        <v>2</v>
      </c>
      <c r="G1634" s="662">
        <v>21252.456092769287</v>
      </c>
      <c r="H1634" s="662">
        <v>21822.036767731988</v>
      </c>
      <c r="I1634" s="662">
        <v>22421.610407023218</v>
      </c>
      <c r="J1634" s="662">
        <v>23052.748070679234</v>
      </c>
      <c r="K1634" s="566" t="s">
        <v>2158</v>
      </c>
      <c r="L1634" s="549"/>
      <c r="M1634" s="540"/>
      <c r="O1634" s="540"/>
      <c r="S1634" s="550"/>
      <c r="T1634" s="547"/>
      <c r="U1634" s="547"/>
      <c r="V1634" s="547"/>
      <c r="W1634" s="549"/>
    </row>
    <row r="1635" spans="1:23">
      <c r="A1635" s="565">
        <v>2329</v>
      </c>
      <c r="B1635" s="696" t="s">
        <v>7041</v>
      </c>
      <c r="C1635" s="566">
        <f t="shared" si="25"/>
        <v>2329</v>
      </c>
      <c r="D1635" s="700" t="s">
        <v>2238</v>
      </c>
      <c r="E1635" s="701" t="s">
        <v>9510</v>
      </c>
      <c r="F1635" s="566">
        <v>2</v>
      </c>
      <c r="G1635" s="662">
        <v>31799.963661378086</v>
      </c>
      <c r="H1635" s="662">
        <v>32747.931765679106</v>
      </c>
      <c r="I1635" s="662">
        <v>33745.745320221336</v>
      </c>
      <c r="J1635" s="662">
        <v>34796.117974158326</v>
      </c>
      <c r="K1635" s="566" t="s">
        <v>2159</v>
      </c>
      <c r="L1635" s="549"/>
      <c r="M1635" s="540"/>
      <c r="O1635" s="540"/>
      <c r="S1635" s="550"/>
      <c r="T1635" s="547"/>
      <c r="U1635" s="547"/>
      <c r="V1635" s="547"/>
      <c r="W1635" s="549"/>
    </row>
    <row r="1636" spans="1:23">
      <c r="A1636" s="565">
        <v>2330</v>
      </c>
      <c r="B1636" s="696" t="s">
        <v>7042</v>
      </c>
      <c r="C1636" s="566">
        <f t="shared" si="25"/>
        <v>2330</v>
      </c>
      <c r="D1636" s="700" t="s">
        <v>2238</v>
      </c>
      <c r="E1636" s="701" t="s">
        <v>9511</v>
      </c>
      <c r="F1636" s="566">
        <v>2</v>
      </c>
      <c r="G1636" s="662">
        <v>19635.068844590944</v>
      </c>
      <c r="H1636" s="662">
        <v>20152.042812279004</v>
      </c>
      <c r="I1636" s="662">
        <v>20696.20087938229</v>
      </c>
      <c r="J1636" s="662">
        <v>21269.018890177282</v>
      </c>
      <c r="K1636" s="566" t="s">
        <v>2160</v>
      </c>
      <c r="L1636" s="549"/>
      <c r="M1636" s="540"/>
      <c r="O1636" s="540"/>
      <c r="S1636" s="550"/>
      <c r="T1636" s="547"/>
      <c r="U1636" s="547"/>
      <c r="V1636" s="547"/>
      <c r="W1636" s="549"/>
    </row>
    <row r="1637" spans="1:23">
      <c r="A1637" s="565">
        <v>2331</v>
      </c>
      <c r="B1637" s="696" t="s">
        <v>7043</v>
      </c>
      <c r="C1637" s="566">
        <f t="shared" si="25"/>
        <v>2331</v>
      </c>
      <c r="D1637" s="700" t="s">
        <v>2238</v>
      </c>
      <c r="E1637" s="701" t="s">
        <v>9512</v>
      </c>
      <c r="F1637" s="566">
        <v>2</v>
      </c>
      <c r="G1637" s="662">
        <v>23353.687968833368</v>
      </c>
      <c r="H1637" s="662">
        <v>24024.054525515901</v>
      </c>
      <c r="I1637" s="662">
        <v>24729.698521194368</v>
      </c>
      <c r="J1637" s="662">
        <v>25472.524271064234</v>
      </c>
      <c r="K1637" s="566" t="s">
        <v>2161</v>
      </c>
      <c r="L1637" s="549"/>
      <c r="M1637" s="540"/>
      <c r="O1637" s="540"/>
      <c r="S1637" s="550"/>
      <c r="T1637" s="547"/>
      <c r="U1637" s="547"/>
      <c r="V1637" s="547"/>
      <c r="W1637" s="549"/>
    </row>
    <row r="1638" spans="1:23">
      <c r="A1638" s="565">
        <v>2332</v>
      </c>
      <c r="B1638" s="696" t="s">
        <v>7044</v>
      </c>
      <c r="C1638" s="566">
        <f t="shared" si="25"/>
        <v>2332</v>
      </c>
      <c r="D1638" s="700" t="s">
        <v>2238</v>
      </c>
      <c r="E1638" s="701" t="s">
        <v>9513</v>
      </c>
      <c r="F1638" s="566">
        <v>2</v>
      </c>
      <c r="G1638" s="662">
        <v>22282.667846696651</v>
      </c>
      <c r="H1638" s="662">
        <v>22916.614375265977</v>
      </c>
      <c r="I1638" s="662">
        <v>23583.88641975588</v>
      </c>
      <c r="J1638" s="662">
        <v>24286.293079602066</v>
      </c>
      <c r="K1638" s="566" t="s">
        <v>2162</v>
      </c>
      <c r="L1638" s="549"/>
      <c r="M1638" s="540"/>
      <c r="O1638" s="540"/>
      <c r="S1638" s="550"/>
      <c r="T1638" s="547"/>
      <c r="U1638" s="547"/>
      <c r="V1638" s="547"/>
      <c r="W1638" s="549"/>
    </row>
    <row r="1639" spans="1:23">
      <c r="A1639" s="565">
        <v>2333</v>
      </c>
      <c r="B1639" s="696" t="s">
        <v>7045</v>
      </c>
      <c r="C1639" s="566">
        <f t="shared" si="25"/>
        <v>2333</v>
      </c>
      <c r="D1639" s="700" t="s">
        <v>2238</v>
      </c>
      <c r="E1639" s="701" t="s">
        <v>9514</v>
      </c>
      <c r="F1639" s="566">
        <v>2</v>
      </c>
      <c r="G1639" s="662">
        <v>24546.02938090781</v>
      </c>
      <c r="H1639" s="662">
        <v>25187.783601778527</v>
      </c>
      <c r="I1639" s="662">
        <v>25829.537822649239</v>
      </c>
      <c r="J1639" s="662">
        <v>26505.046030359521</v>
      </c>
      <c r="K1639" s="566" t="s">
        <v>2163</v>
      </c>
      <c r="L1639" s="549"/>
      <c r="M1639" s="540"/>
      <c r="O1639" s="540"/>
      <c r="S1639" s="550"/>
      <c r="T1639" s="547"/>
      <c r="U1639" s="547"/>
      <c r="V1639" s="547"/>
      <c r="W1639" s="549"/>
    </row>
    <row r="1640" spans="1:23">
      <c r="A1640" s="565">
        <v>2334</v>
      </c>
      <c r="B1640" s="696" t="s">
        <v>7046</v>
      </c>
      <c r="C1640" s="566">
        <f t="shared" si="25"/>
        <v>2334</v>
      </c>
      <c r="D1640" s="700" t="s">
        <v>2238</v>
      </c>
      <c r="E1640" s="701" t="s">
        <v>9515</v>
      </c>
      <c r="F1640" s="566">
        <v>2</v>
      </c>
      <c r="G1640" s="662">
        <v>0</v>
      </c>
      <c r="H1640" s="662">
        <v>0</v>
      </c>
      <c r="I1640" s="662">
        <v>0</v>
      </c>
      <c r="J1640" s="662">
        <v>29629.763391947545</v>
      </c>
      <c r="K1640" s="566" t="s">
        <v>4861</v>
      </c>
      <c r="L1640" s="549"/>
      <c r="M1640" s="540"/>
      <c r="O1640" s="540"/>
      <c r="S1640" s="550"/>
      <c r="T1640" s="547"/>
      <c r="U1640" s="547"/>
      <c r="V1640" s="547"/>
      <c r="W1640" s="549"/>
    </row>
    <row r="1641" spans="1:23">
      <c r="A1641" s="565">
        <v>2335</v>
      </c>
      <c r="B1641" s="696" t="s">
        <v>7047</v>
      </c>
      <c r="C1641" s="566">
        <f t="shared" si="25"/>
        <v>2335</v>
      </c>
      <c r="D1641" s="700" t="s">
        <v>2238</v>
      </c>
      <c r="E1641" s="701" t="s">
        <v>9516</v>
      </c>
      <c r="F1641" s="566">
        <v>2</v>
      </c>
      <c r="G1641" s="662">
        <v>0</v>
      </c>
      <c r="H1641" s="662">
        <v>33175.014551418935</v>
      </c>
      <c r="I1641" s="662">
        <v>34015.436455056239</v>
      </c>
      <c r="J1641" s="662">
        <v>34900.086079108129</v>
      </c>
      <c r="K1641" s="566" t="s">
        <v>4125</v>
      </c>
      <c r="L1641" s="549"/>
      <c r="M1641" s="540"/>
      <c r="O1641" s="540"/>
      <c r="S1641" s="550"/>
      <c r="T1641" s="547"/>
      <c r="U1641" s="547"/>
      <c r="V1641" s="547"/>
      <c r="W1641" s="549"/>
    </row>
    <row r="1642" spans="1:23">
      <c r="A1642" s="565">
        <v>2336</v>
      </c>
      <c r="B1642" s="696" t="s">
        <v>7048</v>
      </c>
      <c r="C1642" s="566">
        <f t="shared" si="25"/>
        <v>2336</v>
      </c>
      <c r="D1642" s="700" t="s">
        <v>2238</v>
      </c>
      <c r="E1642" s="701" t="s">
        <v>9517</v>
      </c>
      <c r="F1642" s="566">
        <v>2</v>
      </c>
      <c r="G1642" s="662">
        <v>0</v>
      </c>
      <c r="H1642" s="662">
        <v>36018.738687714918</v>
      </c>
      <c r="I1642" s="662">
        <v>36940.379634438672</v>
      </c>
      <c r="J1642" s="662">
        <v>37910.48540288693</v>
      </c>
      <c r="K1642" s="566" t="s">
        <v>4126</v>
      </c>
      <c r="L1642" s="549"/>
      <c r="M1642" s="540"/>
      <c r="O1642" s="540"/>
      <c r="S1642" s="550"/>
      <c r="T1642" s="547"/>
      <c r="U1642" s="547"/>
      <c r="V1642" s="547"/>
      <c r="W1642" s="549"/>
    </row>
    <row r="1643" spans="1:23">
      <c r="A1643" s="565">
        <v>2337</v>
      </c>
      <c r="B1643" s="696" t="s">
        <v>7049</v>
      </c>
      <c r="C1643" s="566">
        <f t="shared" si="25"/>
        <v>2337</v>
      </c>
      <c r="D1643" s="700" t="s">
        <v>2238</v>
      </c>
      <c r="E1643" s="701" t="s">
        <v>9518</v>
      </c>
      <c r="F1643" s="566">
        <v>2</v>
      </c>
      <c r="G1643" s="662">
        <v>22261.641040281946</v>
      </c>
      <c r="H1643" s="662">
        <v>22832.935598920565</v>
      </c>
      <c r="I1643" s="662">
        <v>23404.230157559181</v>
      </c>
      <c r="J1643" s="662">
        <v>24005.612896286104</v>
      </c>
      <c r="K1643" s="566" t="s">
        <v>2164</v>
      </c>
      <c r="L1643" s="549"/>
      <c r="M1643" s="540"/>
      <c r="O1643" s="540"/>
      <c r="S1643" s="550"/>
      <c r="T1643" s="547"/>
      <c r="U1643" s="547"/>
      <c r="V1643" s="547"/>
      <c r="W1643" s="549"/>
    </row>
    <row r="1644" spans="1:23">
      <c r="A1644" s="565">
        <v>2338</v>
      </c>
      <c r="B1644" s="696" t="s">
        <v>7050</v>
      </c>
      <c r="C1644" s="566">
        <f t="shared" si="25"/>
        <v>2338</v>
      </c>
      <c r="D1644" s="700" t="s">
        <v>2238</v>
      </c>
      <c r="E1644" s="701" t="s">
        <v>9519</v>
      </c>
      <c r="F1644" s="566">
        <v>1</v>
      </c>
      <c r="G1644" s="662">
        <v>0</v>
      </c>
      <c r="H1644" s="662">
        <v>18463.523962684405</v>
      </c>
      <c r="I1644" s="662">
        <v>18885.410860172167</v>
      </c>
      <c r="J1644" s="662">
        <v>19329.515772237068</v>
      </c>
      <c r="K1644" s="566" t="s">
        <v>3175</v>
      </c>
      <c r="L1644" s="549"/>
      <c r="M1644" s="540"/>
      <c r="O1644" s="540"/>
      <c r="S1644" s="550"/>
      <c r="T1644" s="547"/>
      <c r="U1644" s="547"/>
      <c r="V1644" s="547"/>
      <c r="W1644" s="549"/>
    </row>
    <row r="1645" spans="1:23">
      <c r="A1645" s="565">
        <v>2339</v>
      </c>
      <c r="B1645" s="696" t="s">
        <v>7051</v>
      </c>
      <c r="C1645" s="566">
        <f t="shared" si="25"/>
        <v>2339</v>
      </c>
      <c r="D1645" s="700" t="s">
        <v>2238</v>
      </c>
      <c r="E1645" s="701" t="s">
        <v>9520</v>
      </c>
      <c r="F1645" s="566">
        <v>1</v>
      </c>
      <c r="G1645" s="662">
        <v>0</v>
      </c>
      <c r="H1645" s="662">
        <v>17716.274945268273</v>
      </c>
      <c r="I1645" s="662">
        <v>0</v>
      </c>
      <c r="J1645" s="662">
        <v>0</v>
      </c>
      <c r="K1645" s="566" t="s">
        <v>3176</v>
      </c>
      <c r="L1645" s="549"/>
      <c r="M1645" s="540"/>
      <c r="O1645" s="540"/>
      <c r="S1645" s="550"/>
      <c r="T1645" s="547"/>
      <c r="U1645" s="547"/>
      <c r="V1645" s="547"/>
      <c r="W1645" s="549"/>
    </row>
    <row r="1646" spans="1:23">
      <c r="A1646" s="565">
        <v>2340</v>
      </c>
      <c r="B1646" s="696" t="s">
        <v>7052</v>
      </c>
      <c r="C1646" s="566">
        <f t="shared" si="25"/>
        <v>2340</v>
      </c>
      <c r="D1646" s="700" t="s">
        <v>2238</v>
      </c>
      <c r="E1646" s="701" t="s">
        <v>9521</v>
      </c>
      <c r="F1646" s="566">
        <v>1</v>
      </c>
      <c r="G1646" s="662">
        <v>0</v>
      </c>
      <c r="H1646" s="662">
        <v>0</v>
      </c>
      <c r="I1646" s="662">
        <v>18978.868112626566</v>
      </c>
      <c r="J1646" s="662">
        <v>19414.233371447841</v>
      </c>
      <c r="K1646" s="566" t="s">
        <v>4127</v>
      </c>
      <c r="L1646" s="549"/>
      <c r="M1646" s="540"/>
      <c r="O1646" s="540"/>
      <c r="S1646" s="550"/>
      <c r="T1646" s="547"/>
      <c r="U1646" s="547"/>
      <c r="V1646" s="547"/>
      <c r="W1646" s="549"/>
    </row>
    <row r="1647" spans="1:23">
      <c r="A1647" s="565">
        <v>2341</v>
      </c>
      <c r="B1647" s="696" t="s">
        <v>7053</v>
      </c>
      <c r="C1647" s="566">
        <f t="shared" si="25"/>
        <v>2341</v>
      </c>
      <c r="D1647" s="700" t="s">
        <v>2238</v>
      </c>
      <c r="E1647" s="701" t="s">
        <v>9522</v>
      </c>
      <c r="F1647" s="566">
        <v>1</v>
      </c>
      <c r="G1647" s="662">
        <v>0</v>
      </c>
      <c r="H1647" s="662">
        <v>0</v>
      </c>
      <c r="I1647" s="662">
        <v>19906.487582522459</v>
      </c>
      <c r="J1647" s="662">
        <v>20366.028765251416</v>
      </c>
      <c r="K1647" s="566" t="s">
        <v>4128</v>
      </c>
      <c r="L1647" s="549"/>
      <c r="M1647" s="540"/>
      <c r="O1647" s="540"/>
      <c r="S1647" s="550"/>
      <c r="T1647" s="547"/>
      <c r="U1647" s="547"/>
      <c r="V1647" s="547"/>
      <c r="W1647" s="549"/>
    </row>
    <row r="1648" spans="1:23">
      <c r="A1648" s="565">
        <v>2342</v>
      </c>
      <c r="B1648" s="696" t="s">
        <v>7054</v>
      </c>
      <c r="C1648" s="566">
        <f t="shared" si="25"/>
        <v>2342</v>
      </c>
      <c r="D1648" s="700" t="s">
        <v>2238</v>
      </c>
      <c r="E1648" s="701" t="s">
        <v>9523</v>
      </c>
      <c r="F1648" s="566">
        <v>1</v>
      </c>
      <c r="G1648" s="662">
        <v>0</v>
      </c>
      <c r="H1648" s="662">
        <v>0</v>
      </c>
      <c r="I1648" s="662">
        <v>0</v>
      </c>
      <c r="J1648" s="662">
        <v>19772.498103537491</v>
      </c>
      <c r="K1648" s="566" t="s">
        <v>4862</v>
      </c>
      <c r="L1648" s="549"/>
      <c r="M1648" s="540"/>
      <c r="O1648" s="540"/>
      <c r="S1648" s="550"/>
      <c r="T1648" s="547"/>
      <c r="U1648" s="547"/>
      <c r="V1648" s="547"/>
      <c r="W1648" s="549"/>
    </row>
    <row r="1649" spans="1:23">
      <c r="A1649" s="565">
        <v>2343</v>
      </c>
      <c r="B1649" s="696" t="s">
        <v>7055</v>
      </c>
      <c r="C1649" s="566">
        <f t="shared" si="25"/>
        <v>2343</v>
      </c>
      <c r="D1649" s="700" t="s">
        <v>2238</v>
      </c>
      <c r="E1649" s="701" t="s">
        <v>9524</v>
      </c>
      <c r="F1649" s="566">
        <v>1</v>
      </c>
      <c r="G1649" s="662">
        <v>35426.14294507989</v>
      </c>
      <c r="H1649" s="662">
        <v>36503.606248057673</v>
      </c>
      <c r="I1649" s="662">
        <v>0</v>
      </c>
      <c r="J1649" s="662">
        <v>0</v>
      </c>
      <c r="K1649" s="566" t="s">
        <v>3177</v>
      </c>
      <c r="L1649" s="549"/>
      <c r="M1649" s="540"/>
      <c r="O1649" s="540"/>
      <c r="S1649" s="550"/>
      <c r="T1649" s="547"/>
      <c r="U1649" s="547"/>
      <c r="V1649" s="547"/>
      <c r="W1649" s="549"/>
    </row>
    <row r="1650" spans="1:23">
      <c r="A1650" s="565">
        <v>2344</v>
      </c>
      <c r="B1650" s="696" t="s">
        <v>7056</v>
      </c>
      <c r="C1650" s="566">
        <f t="shared" si="25"/>
        <v>2344</v>
      </c>
      <c r="D1650" s="700" t="s">
        <v>2238</v>
      </c>
      <c r="E1650" s="701" t="s">
        <v>9525</v>
      </c>
      <c r="F1650" s="566">
        <v>1</v>
      </c>
      <c r="G1650" s="662">
        <v>0</v>
      </c>
      <c r="H1650" s="662">
        <v>0</v>
      </c>
      <c r="I1650" s="662">
        <v>0</v>
      </c>
      <c r="J1650" s="662">
        <v>8837.2554408492906</v>
      </c>
      <c r="K1650" s="566" t="s">
        <v>4863</v>
      </c>
      <c r="L1650" s="549"/>
      <c r="M1650" s="540"/>
      <c r="O1650" s="540"/>
      <c r="S1650" s="550"/>
      <c r="T1650" s="547"/>
      <c r="U1650" s="547"/>
      <c r="V1650" s="547"/>
      <c r="W1650" s="549"/>
    </row>
    <row r="1651" spans="1:23">
      <c r="A1651" s="565">
        <v>2345</v>
      </c>
      <c r="B1651" s="696" t="s">
        <v>7057</v>
      </c>
      <c r="C1651" s="566">
        <f t="shared" si="25"/>
        <v>2345</v>
      </c>
      <c r="D1651" s="700" t="s">
        <v>2238</v>
      </c>
      <c r="E1651" s="701" t="s">
        <v>9526</v>
      </c>
      <c r="F1651" s="566">
        <v>1</v>
      </c>
      <c r="G1651" s="662">
        <v>0</v>
      </c>
      <c r="H1651" s="662">
        <v>10714.855487874922</v>
      </c>
      <c r="I1651" s="662">
        <v>10995.781491951779</v>
      </c>
      <c r="J1651" s="662">
        <v>11291.526473389597</v>
      </c>
      <c r="K1651" s="566" t="s">
        <v>3178</v>
      </c>
      <c r="L1651" s="549"/>
      <c r="M1651" s="540"/>
      <c r="O1651" s="540"/>
      <c r="S1651" s="550"/>
      <c r="T1651" s="547"/>
      <c r="U1651" s="547"/>
      <c r="V1651" s="547"/>
      <c r="W1651" s="549"/>
    </row>
    <row r="1652" spans="1:23">
      <c r="A1652" s="565">
        <v>2346</v>
      </c>
      <c r="B1652" s="695" t="s">
        <v>7058</v>
      </c>
      <c r="C1652" s="566">
        <f t="shared" si="25"/>
        <v>2346</v>
      </c>
      <c r="D1652" s="699" t="s">
        <v>2238</v>
      </c>
      <c r="E1652" s="701" t="s">
        <v>9527</v>
      </c>
      <c r="F1652" s="567">
        <v>1</v>
      </c>
      <c r="G1652" s="662">
        <v>0</v>
      </c>
      <c r="H1652" s="662">
        <v>10025.341346311834</v>
      </c>
      <c r="I1652" s="662">
        <v>10283.311000068838</v>
      </c>
      <c r="J1652" s="662">
        <v>10554.867827023287</v>
      </c>
      <c r="K1652" s="568" t="s">
        <v>3179</v>
      </c>
      <c r="L1652" s="549"/>
      <c r="M1652" s="540"/>
      <c r="O1652" s="540"/>
      <c r="S1652" s="550"/>
      <c r="T1652" s="547"/>
      <c r="U1652" s="547"/>
      <c r="V1652" s="547"/>
      <c r="W1652" s="549"/>
    </row>
    <row r="1653" spans="1:23">
      <c r="A1653" s="565">
        <v>2347</v>
      </c>
      <c r="B1653" s="695" t="s">
        <v>7059</v>
      </c>
      <c r="C1653" s="566">
        <f t="shared" si="25"/>
        <v>2347</v>
      </c>
      <c r="D1653" s="699" t="s">
        <v>2238</v>
      </c>
      <c r="E1653" s="701" t="s">
        <v>9528</v>
      </c>
      <c r="F1653" s="567">
        <v>1</v>
      </c>
      <c r="G1653" s="662">
        <v>0</v>
      </c>
      <c r="H1653" s="662">
        <v>0</v>
      </c>
      <c r="I1653" s="662">
        <v>0</v>
      </c>
      <c r="J1653" s="662">
        <v>12862.957236590677</v>
      </c>
      <c r="K1653" s="568" t="s">
        <v>4864</v>
      </c>
      <c r="L1653" s="549"/>
      <c r="M1653" s="540"/>
      <c r="O1653" s="540"/>
      <c r="S1653" s="550"/>
      <c r="T1653" s="547"/>
      <c r="U1653" s="547"/>
      <c r="V1653" s="547"/>
      <c r="W1653" s="549"/>
    </row>
    <row r="1654" spans="1:23">
      <c r="A1654" s="565">
        <v>2348</v>
      </c>
      <c r="B1654" s="696" t="s">
        <v>7060</v>
      </c>
      <c r="C1654" s="566">
        <f t="shared" si="25"/>
        <v>2348</v>
      </c>
      <c r="D1654" s="700" t="s">
        <v>2238</v>
      </c>
      <c r="E1654" s="701" t="s">
        <v>9529</v>
      </c>
      <c r="F1654" s="566">
        <v>1</v>
      </c>
      <c r="G1654" s="662">
        <v>0</v>
      </c>
      <c r="H1654" s="662">
        <v>0</v>
      </c>
      <c r="I1654" s="662">
        <v>0</v>
      </c>
      <c r="J1654" s="662">
        <v>12120.403545676587</v>
      </c>
      <c r="K1654" s="566" t="s">
        <v>4865</v>
      </c>
      <c r="L1654" s="549"/>
      <c r="M1654" s="540"/>
      <c r="O1654" s="540"/>
      <c r="S1654" s="550"/>
      <c r="T1654" s="547"/>
      <c r="U1654" s="547"/>
      <c r="V1654" s="547"/>
      <c r="W1654" s="549"/>
    </row>
    <row r="1655" spans="1:23">
      <c r="A1655" s="565">
        <v>2349</v>
      </c>
      <c r="B1655" s="696" t="s">
        <v>7061</v>
      </c>
      <c r="C1655" s="566">
        <f t="shared" si="25"/>
        <v>2349</v>
      </c>
      <c r="D1655" s="700" t="s">
        <v>2238</v>
      </c>
      <c r="E1655" s="701" t="s">
        <v>9530</v>
      </c>
      <c r="F1655" s="566">
        <v>1</v>
      </c>
      <c r="G1655" s="662">
        <v>0</v>
      </c>
      <c r="H1655" s="662">
        <v>8487.1944151326497</v>
      </c>
      <c r="I1655" s="662">
        <v>8693.8762228091819</v>
      </c>
      <c r="J1655" s="662">
        <v>8911.4576309627919</v>
      </c>
      <c r="K1655" s="566" t="s">
        <v>3180</v>
      </c>
      <c r="L1655" s="549"/>
      <c r="M1655" s="540"/>
      <c r="O1655" s="540"/>
      <c r="S1655" s="550"/>
      <c r="T1655" s="547"/>
      <c r="U1655" s="547"/>
      <c r="V1655" s="547"/>
      <c r="W1655" s="549"/>
    </row>
    <row r="1656" spans="1:23">
      <c r="A1656" s="565">
        <v>2350</v>
      </c>
      <c r="B1656" s="696" t="s">
        <v>7062</v>
      </c>
      <c r="C1656" s="566">
        <f t="shared" si="25"/>
        <v>2350</v>
      </c>
      <c r="D1656" s="700" t="s">
        <v>2238</v>
      </c>
      <c r="E1656" s="701" t="s">
        <v>9531</v>
      </c>
      <c r="F1656" s="566">
        <v>1</v>
      </c>
      <c r="G1656" s="662">
        <v>0</v>
      </c>
      <c r="H1656" s="662">
        <v>0</v>
      </c>
      <c r="I1656" s="662">
        <v>10534.521020081496</v>
      </c>
      <c r="J1656" s="662">
        <v>10809.474640335304</v>
      </c>
      <c r="K1656" s="566" t="s">
        <v>4129</v>
      </c>
      <c r="L1656" s="549"/>
      <c r="M1656" s="540"/>
      <c r="O1656" s="540"/>
      <c r="S1656" s="550"/>
      <c r="T1656" s="547"/>
      <c r="U1656" s="547"/>
      <c r="V1656" s="547"/>
      <c r="W1656" s="549"/>
    </row>
    <row r="1657" spans="1:23">
      <c r="A1657" s="565">
        <v>2351</v>
      </c>
      <c r="B1657" s="695" t="s">
        <v>7063</v>
      </c>
      <c r="C1657" s="566">
        <f t="shared" si="25"/>
        <v>2351</v>
      </c>
      <c r="D1657" s="699" t="s">
        <v>2238</v>
      </c>
      <c r="E1657" s="701" t="s">
        <v>9532</v>
      </c>
      <c r="F1657" s="567">
        <v>1</v>
      </c>
      <c r="G1657" s="662">
        <v>0</v>
      </c>
      <c r="H1657" s="662">
        <v>9330.5232498136484</v>
      </c>
      <c r="I1657" s="662">
        <v>9565.3125888574286</v>
      </c>
      <c r="J1657" s="662">
        <v>9812.4946243340419</v>
      </c>
      <c r="K1657" s="568" t="s">
        <v>3181</v>
      </c>
      <c r="L1657" s="549"/>
      <c r="M1657" s="540"/>
      <c r="O1657" s="540"/>
      <c r="S1657" s="550"/>
      <c r="T1657" s="547"/>
      <c r="U1657" s="547"/>
      <c r="V1657" s="547"/>
      <c r="W1657" s="549"/>
    </row>
    <row r="1658" spans="1:23">
      <c r="A1658" s="565">
        <v>2352</v>
      </c>
      <c r="B1658" s="695" t="s">
        <v>7064</v>
      </c>
      <c r="C1658" s="566">
        <f t="shared" si="25"/>
        <v>2352</v>
      </c>
      <c r="D1658" s="699" t="s">
        <v>2238</v>
      </c>
      <c r="E1658" s="701" t="s">
        <v>9533</v>
      </c>
      <c r="F1658" s="567">
        <v>1</v>
      </c>
      <c r="G1658" s="662">
        <v>0</v>
      </c>
      <c r="H1658" s="662">
        <v>11510.448728140014</v>
      </c>
      <c r="I1658" s="662">
        <v>11817.914512830574</v>
      </c>
      <c r="J1658" s="662">
        <v>12141.580388641158</v>
      </c>
      <c r="K1658" s="568" t="s">
        <v>3182</v>
      </c>
      <c r="L1658" s="549"/>
      <c r="M1658" s="540"/>
      <c r="O1658" s="540"/>
      <c r="S1658" s="550"/>
      <c r="T1658" s="547"/>
      <c r="U1658" s="547"/>
      <c r="V1658" s="547"/>
      <c r="W1658" s="549"/>
    </row>
    <row r="1659" spans="1:23">
      <c r="A1659" s="565">
        <v>2353</v>
      </c>
      <c r="B1659" s="696" t="s">
        <v>7065</v>
      </c>
      <c r="C1659" s="566">
        <f t="shared" si="25"/>
        <v>2353</v>
      </c>
      <c r="D1659" s="700" t="s">
        <v>2238</v>
      </c>
      <c r="E1659" s="701" t="s">
        <v>9534</v>
      </c>
      <c r="F1659" s="566">
        <v>1</v>
      </c>
      <c r="G1659" s="662">
        <v>0</v>
      </c>
      <c r="H1659" s="662">
        <v>10820.934586576932</v>
      </c>
      <c r="I1659" s="662">
        <v>11105.406693548732</v>
      </c>
      <c r="J1659" s="662">
        <v>11404.884414875954</v>
      </c>
      <c r="K1659" s="566" t="s">
        <v>3183</v>
      </c>
      <c r="L1659" s="549"/>
      <c r="M1659" s="540"/>
      <c r="O1659" s="540"/>
      <c r="S1659" s="550"/>
      <c r="T1659" s="547"/>
      <c r="U1659" s="547"/>
      <c r="V1659" s="547"/>
      <c r="W1659" s="549"/>
    </row>
    <row r="1660" spans="1:23">
      <c r="A1660" s="565">
        <v>2354</v>
      </c>
      <c r="B1660" s="696" t="s">
        <v>7066</v>
      </c>
      <c r="C1660" s="566">
        <f t="shared" si="25"/>
        <v>2354</v>
      </c>
      <c r="D1660" s="700" t="s">
        <v>2238</v>
      </c>
      <c r="E1660" s="701" t="s">
        <v>9535</v>
      </c>
      <c r="F1660" s="566">
        <v>1</v>
      </c>
      <c r="G1660" s="662">
        <v>0</v>
      </c>
      <c r="H1660" s="662">
        <v>0</v>
      </c>
      <c r="I1660" s="662">
        <v>0</v>
      </c>
      <c r="J1660" s="662">
        <v>13594.903017634562</v>
      </c>
      <c r="K1660" s="566" t="s">
        <v>4866</v>
      </c>
      <c r="L1660" s="549"/>
      <c r="M1660" s="540"/>
      <c r="O1660" s="540"/>
      <c r="S1660" s="550"/>
      <c r="T1660" s="547"/>
      <c r="U1660" s="547"/>
      <c r="V1660" s="547"/>
      <c r="W1660" s="549"/>
    </row>
    <row r="1661" spans="1:23">
      <c r="A1661" s="565">
        <v>2355</v>
      </c>
      <c r="B1661" s="696" t="s">
        <v>7067</v>
      </c>
      <c r="C1661" s="566">
        <f t="shared" si="25"/>
        <v>2355</v>
      </c>
      <c r="D1661" s="700" t="s">
        <v>2238</v>
      </c>
      <c r="E1661" s="701" t="s">
        <v>9536</v>
      </c>
      <c r="F1661" s="566">
        <v>1</v>
      </c>
      <c r="G1661" s="662">
        <v>0</v>
      </c>
      <c r="H1661" s="662">
        <v>0</v>
      </c>
      <c r="I1661" s="662">
        <v>0</v>
      </c>
      <c r="J1661" s="662">
        <v>12836.437461915175</v>
      </c>
      <c r="K1661" s="566" t="s">
        <v>4867</v>
      </c>
      <c r="L1661" s="549"/>
      <c r="M1661" s="540"/>
      <c r="O1661" s="540"/>
      <c r="S1661" s="550"/>
      <c r="T1661" s="547"/>
      <c r="U1661" s="547"/>
      <c r="V1661" s="547"/>
      <c r="W1661" s="549"/>
    </row>
    <row r="1662" spans="1:23">
      <c r="A1662" s="565">
        <v>2356</v>
      </c>
      <c r="B1662" s="696" t="s">
        <v>7068</v>
      </c>
      <c r="C1662" s="566">
        <f t="shared" si="25"/>
        <v>2356</v>
      </c>
      <c r="D1662" s="700" t="s">
        <v>2238</v>
      </c>
      <c r="E1662" s="701" t="s">
        <v>9537</v>
      </c>
      <c r="F1662" s="566">
        <v>1</v>
      </c>
      <c r="G1662" s="662">
        <v>0</v>
      </c>
      <c r="H1662" s="662">
        <v>0</v>
      </c>
      <c r="I1662" s="662">
        <v>30604.95355703653</v>
      </c>
      <c r="J1662" s="662">
        <v>31735.654832459379</v>
      </c>
      <c r="K1662" s="566" t="s">
        <v>4130</v>
      </c>
      <c r="L1662" s="549"/>
      <c r="M1662" s="540"/>
      <c r="O1662" s="540"/>
      <c r="S1662" s="550"/>
      <c r="T1662" s="547"/>
      <c r="U1662" s="547"/>
      <c r="V1662" s="547"/>
      <c r="W1662" s="549"/>
    </row>
    <row r="1663" spans="1:23">
      <c r="A1663" s="565">
        <v>2357</v>
      </c>
      <c r="B1663" s="695" t="s">
        <v>7069</v>
      </c>
      <c r="C1663" s="566">
        <f t="shared" si="25"/>
        <v>2357</v>
      </c>
      <c r="D1663" s="699" t="s">
        <v>2238</v>
      </c>
      <c r="E1663" s="701" t="s">
        <v>9538</v>
      </c>
      <c r="F1663" s="567">
        <v>1</v>
      </c>
      <c r="G1663" s="662">
        <v>29373.239599455857</v>
      </c>
      <c r="H1663" s="662">
        <v>30481.510034566123</v>
      </c>
      <c r="I1663" s="662">
        <v>0</v>
      </c>
      <c r="J1663" s="662">
        <v>0</v>
      </c>
      <c r="K1663" s="568" t="s">
        <v>2165</v>
      </c>
      <c r="L1663" s="549"/>
      <c r="M1663" s="540"/>
      <c r="O1663" s="540"/>
      <c r="S1663" s="550"/>
      <c r="T1663" s="547"/>
      <c r="U1663" s="547"/>
      <c r="V1663" s="547"/>
      <c r="W1663" s="549"/>
    </row>
    <row r="1664" spans="1:23">
      <c r="A1664" s="565">
        <v>2358</v>
      </c>
      <c r="B1664" s="696" t="s">
        <v>7070</v>
      </c>
      <c r="C1664" s="566">
        <f t="shared" si="25"/>
        <v>2358</v>
      </c>
      <c r="D1664" s="700" t="s">
        <v>2238</v>
      </c>
      <c r="E1664" s="701" t="s">
        <v>9539</v>
      </c>
      <c r="F1664" s="566">
        <v>1</v>
      </c>
      <c r="G1664" s="662">
        <v>0</v>
      </c>
      <c r="H1664" s="662">
        <v>0</v>
      </c>
      <c r="I1664" s="662">
        <v>30078.286009307783</v>
      </c>
      <c r="J1664" s="662">
        <v>31187.958371937584</v>
      </c>
      <c r="K1664" s="566" t="s">
        <v>4131</v>
      </c>
      <c r="L1664" s="549"/>
      <c r="M1664" s="540"/>
      <c r="O1664" s="540"/>
      <c r="S1664" s="550"/>
      <c r="T1664" s="547"/>
      <c r="U1664" s="547"/>
      <c r="V1664" s="547"/>
      <c r="W1664" s="549"/>
    </row>
    <row r="1665" spans="1:23">
      <c r="A1665" s="565">
        <v>2359</v>
      </c>
      <c r="B1665" s="696" t="s">
        <v>7071</v>
      </c>
      <c r="C1665" s="566">
        <f t="shared" si="25"/>
        <v>2359</v>
      </c>
      <c r="D1665" s="700" t="s">
        <v>2238</v>
      </c>
      <c r="E1665" s="701" t="s">
        <v>9540</v>
      </c>
      <c r="F1665" s="566">
        <v>1</v>
      </c>
      <c r="G1665" s="662">
        <v>0</v>
      </c>
      <c r="H1665" s="662">
        <v>23464.391982115711</v>
      </c>
      <c r="I1665" s="662">
        <v>24002.804423925267</v>
      </c>
      <c r="J1665" s="662">
        <v>24569.544835861972</v>
      </c>
      <c r="K1665" s="566" t="s">
        <v>4132</v>
      </c>
      <c r="L1665" s="549"/>
      <c r="M1665" s="540"/>
      <c r="O1665" s="540"/>
      <c r="S1665" s="550"/>
      <c r="T1665" s="547"/>
      <c r="U1665" s="547"/>
      <c r="V1665" s="547"/>
      <c r="W1665" s="549"/>
    </row>
    <row r="1666" spans="1:23">
      <c r="A1666" s="565">
        <v>2360</v>
      </c>
      <c r="B1666" s="696" t="s">
        <v>7072</v>
      </c>
      <c r="C1666" s="566">
        <f t="shared" si="25"/>
        <v>2360</v>
      </c>
      <c r="D1666" s="700" t="s">
        <v>2238</v>
      </c>
      <c r="E1666" s="701" t="s">
        <v>9541</v>
      </c>
      <c r="F1666" s="566">
        <v>1</v>
      </c>
      <c r="G1666" s="662">
        <v>0</v>
      </c>
      <c r="H1666" s="662">
        <v>24994.235586218627</v>
      </c>
      <c r="I1666" s="662">
        <v>25571.542421517453</v>
      </c>
      <c r="J1666" s="662">
        <v>26179.236208797705</v>
      </c>
      <c r="K1666" s="566" t="s">
        <v>4133</v>
      </c>
      <c r="L1666" s="549"/>
      <c r="M1666" s="540"/>
      <c r="O1666" s="540"/>
      <c r="S1666" s="550"/>
      <c r="T1666" s="547"/>
      <c r="U1666" s="547"/>
      <c r="V1666" s="547"/>
      <c r="W1666" s="549"/>
    </row>
    <row r="1667" spans="1:23">
      <c r="A1667" s="565">
        <v>2361</v>
      </c>
      <c r="B1667" s="695" t="s">
        <v>7073</v>
      </c>
      <c r="C1667" s="566">
        <f t="shared" si="25"/>
        <v>2361</v>
      </c>
      <c r="D1667" s="699" t="s">
        <v>2238</v>
      </c>
      <c r="E1667" s="701" t="s">
        <v>9542</v>
      </c>
      <c r="F1667" s="567">
        <v>1</v>
      </c>
      <c r="G1667" s="662">
        <v>20797.044310411653</v>
      </c>
      <c r="H1667" s="662">
        <v>21305.771211640684</v>
      </c>
      <c r="I1667" s="662">
        <v>0</v>
      </c>
      <c r="J1667" s="662">
        <v>0</v>
      </c>
      <c r="K1667" s="568" t="s">
        <v>2166</v>
      </c>
      <c r="L1667" s="549"/>
      <c r="M1667" s="540"/>
      <c r="O1667" s="540"/>
      <c r="S1667" s="550"/>
      <c r="T1667" s="547"/>
      <c r="U1667" s="547"/>
      <c r="V1667" s="547"/>
      <c r="W1667" s="549"/>
    </row>
    <row r="1668" spans="1:23">
      <c r="A1668" s="565">
        <v>2362</v>
      </c>
      <c r="B1668" s="696" t="s">
        <v>7074</v>
      </c>
      <c r="C1668" s="566">
        <f t="shared" si="25"/>
        <v>2362</v>
      </c>
      <c r="D1668" s="700" t="s">
        <v>2238</v>
      </c>
      <c r="E1668" s="701" t="s">
        <v>9543</v>
      </c>
      <c r="F1668" s="566">
        <v>1</v>
      </c>
      <c r="G1668" s="662">
        <v>19531.835841636323</v>
      </c>
      <c r="H1668" s="662">
        <v>0</v>
      </c>
      <c r="I1668" s="662">
        <v>0</v>
      </c>
      <c r="J1668" s="662">
        <v>0</v>
      </c>
      <c r="K1668" s="566" t="s">
        <v>5314</v>
      </c>
      <c r="L1668" s="549"/>
      <c r="M1668" s="540"/>
      <c r="O1668" s="540"/>
      <c r="S1668" s="550"/>
      <c r="T1668" s="547"/>
      <c r="U1668" s="547"/>
      <c r="V1668" s="547"/>
      <c r="W1668" s="549"/>
    </row>
    <row r="1669" spans="1:23">
      <c r="A1669" s="565">
        <v>2363</v>
      </c>
      <c r="B1669" s="695" t="s">
        <v>7075</v>
      </c>
      <c r="C1669" s="566">
        <f t="shared" si="25"/>
        <v>2363</v>
      </c>
      <c r="D1669" s="699" t="s">
        <v>2238</v>
      </c>
      <c r="E1669" s="701" t="s">
        <v>9544</v>
      </c>
      <c r="F1669" s="567">
        <v>1</v>
      </c>
      <c r="G1669" s="662">
        <v>0</v>
      </c>
      <c r="H1669" s="662">
        <v>0</v>
      </c>
      <c r="I1669" s="662">
        <v>0</v>
      </c>
      <c r="J1669" s="662">
        <v>15385.691588800475</v>
      </c>
      <c r="K1669" s="568" t="s">
        <v>4868</v>
      </c>
      <c r="L1669" s="549"/>
      <c r="M1669" s="540"/>
      <c r="O1669" s="540"/>
      <c r="S1669" s="550"/>
      <c r="T1669" s="547"/>
      <c r="U1669" s="547"/>
      <c r="V1669" s="547"/>
      <c r="W1669" s="549"/>
    </row>
    <row r="1670" spans="1:23">
      <c r="A1670" s="565">
        <v>2364</v>
      </c>
      <c r="B1670" s="695" t="s">
        <v>7076</v>
      </c>
      <c r="C1670" s="566">
        <f t="shared" si="25"/>
        <v>2364</v>
      </c>
      <c r="D1670" s="699" t="s">
        <v>2238</v>
      </c>
      <c r="E1670" s="701" t="s">
        <v>9545</v>
      </c>
      <c r="F1670" s="567">
        <v>1</v>
      </c>
      <c r="G1670" s="662">
        <v>0</v>
      </c>
      <c r="H1670" s="662">
        <v>0</v>
      </c>
      <c r="I1670" s="662">
        <v>0</v>
      </c>
      <c r="J1670" s="662">
        <v>16148.565086008441</v>
      </c>
      <c r="K1670" s="568" t="s">
        <v>4869</v>
      </c>
      <c r="L1670" s="549"/>
      <c r="M1670" s="540"/>
      <c r="O1670" s="540"/>
      <c r="S1670" s="550"/>
      <c r="T1670" s="547"/>
      <c r="U1670" s="547"/>
      <c r="V1670" s="547"/>
      <c r="W1670" s="549"/>
    </row>
    <row r="1671" spans="1:23">
      <c r="A1671" s="565">
        <v>2365</v>
      </c>
      <c r="B1671" s="695" t="s">
        <v>7077</v>
      </c>
      <c r="C1671" s="566">
        <f t="shared" si="25"/>
        <v>2365</v>
      </c>
      <c r="D1671" s="699" t="s">
        <v>2238</v>
      </c>
      <c r="E1671" s="701" t="s">
        <v>9546</v>
      </c>
      <c r="F1671" s="567">
        <v>1</v>
      </c>
      <c r="G1671" s="662">
        <v>0</v>
      </c>
      <c r="H1671" s="662">
        <v>0</v>
      </c>
      <c r="I1671" s="662">
        <v>0</v>
      </c>
      <c r="J1671" s="662">
        <v>14136.839419297063</v>
      </c>
      <c r="K1671" s="568" t="s">
        <v>4870</v>
      </c>
      <c r="L1671" s="549"/>
      <c r="M1671" s="540"/>
      <c r="O1671" s="540"/>
      <c r="S1671" s="550"/>
      <c r="T1671" s="547"/>
      <c r="U1671" s="547"/>
      <c r="V1671" s="547"/>
      <c r="W1671" s="549"/>
    </row>
    <row r="1672" spans="1:23">
      <c r="A1672" s="565">
        <v>2366</v>
      </c>
      <c r="B1672" s="696" t="s">
        <v>7078</v>
      </c>
      <c r="C1672" s="566">
        <f t="shared" si="25"/>
        <v>2366</v>
      </c>
      <c r="D1672" s="700" t="s">
        <v>2238</v>
      </c>
      <c r="E1672" s="701" t="s">
        <v>9547</v>
      </c>
      <c r="F1672" s="566">
        <v>1</v>
      </c>
      <c r="G1672" s="662">
        <v>0</v>
      </c>
      <c r="H1672" s="662">
        <v>0</v>
      </c>
      <c r="I1672" s="662">
        <v>0</v>
      </c>
      <c r="J1672" s="662">
        <v>14899.712916505032</v>
      </c>
      <c r="K1672" s="566" t="s">
        <v>4871</v>
      </c>
      <c r="L1672" s="549"/>
      <c r="M1672" s="540"/>
      <c r="O1672" s="540"/>
      <c r="S1672" s="550"/>
      <c r="T1672" s="547"/>
      <c r="U1672" s="547"/>
      <c r="V1672" s="547"/>
      <c r="W1672" s="549"/>
    </row>
    <row r="1673" spans="1:23">
      <c r="A1673" s="565">
        <v>2367</v>
      </c>
      <c r="B1673" s="696" t="s">
        <v>7079</v>
      </c>
      <c r="C1673" s="566">
        <f t="shared" ref="C1673:C1736" si="26">A1673</f>
        <v>2367</v>
      </c>
      <c r="D1673" s="700" t="s">
        <v>2238</v>
      </c>
      <c r="E1673" s="701" t="s">
        <v>9548</v>
      </c>
      <c r="F1673" s="566">
        <v>2</v>
      </c>
      <c r="G1673" s="662">
        <v>16550.301675657414</v>
      </c>
      <c r="H1673" s="662">
        <v>17086.435414376097</v>
      </c>
      <c r="I1673" s="662">
        <v>17650.752222489526</v>
      </c>
      <c r="J1673" s="662">
        <v>18244.781413840821</v>
      </c>
      <c r="K1673" s="566" t="s">
        <v>2167</v>
      </c>
      <c r="L1673" s="549"/>
      <c r="M1673" s="540"/>
      <c r="O1673" s="540"/>
      <c r="S1673" s="550"/>
      <c r="T1673" s="547"/>
      <c r="U1673" s="547"/>
      <c r="V1673" s="547"/>
      <c r="W1673" s="549"/>
    </row>
    <row r="1674" spans="1:23">
      <c r="A1674" s="565">
        <v>2368</v>
      </c>
      <c r="B1674" s="696" t="s">
        <v>7080</v>
      </c>
      <c r="C1674" s="566">
        <f t="shared" si="26"/>
        <v>2368</v>
      </c>
      <c r="D1674" s="700" t="s">
        <v>2238</v>
      </c>
      <c r="E1674" s="701" t="s">
        <v>9549</v>
      </c>
      <c r="F1674" s="566">
        <v>2</v>
      </c>
      <c r="G1674" s="662">
        <v>17131.055771613457</v>
      </c>
      <c r="H1674" s="662">
        <v>17691.330821712909</v>
      </c>
      <c r="I1674" s="662">
        <v>18281.099781644072</v>
      </c>
      <c r="J1674" s="662">
        <v>18901.891965250077</v>
      </c>
      <c r="K1674" s="566" t="s">
        <v>2168</v>
      </c>
      <c r="L1674" s="549"/>
      <c r="M1674" s="540"/>
      <c r="O1674" s="540"/>
      <c r="S1674" s="550"/>
      <c r="T1674" s="547"/>
      <c r="U1674" s="547"/>
      <c r="V1674" s="547"/>
      <c r="W1674" s="549"/>
    </row>
    <row r="1675" spans="1:23">
      <c r="A1675" s="565">
        <v>2369</v>
      </c>
      <c r="B1675" s="696" t="s">
        <v>7081</v>
      </c>
      <c r="C1675" s="566">
        <f t="shared" si="26"/>
        <v>2369</v>
      </c>
      <c r="D1675" s="700" t="s">
        <v>2238</v>
      </c>
      <c r="E1675" s="701" t="s">
        <v>9550</v>
      </c>
      <c r="F1675" s="566">
        <v>2</v>
      </c>
      <c r="G1675" s="662">
        <v>0</v>
      </c>
      <c r="H1675" s="662">
        <v>18931.661350562612</v>
      </c>
      <c r="I1675" s="662">
        <v>20209.566921548852</v>
      </c>
      <c r="J1675" s="662">
        <v>20919.550873220014</v>
      </c>
      <c r="K1675" s="566" t="s">
        <v>3184</v>
      </c>
      <c r="L1675" s="549"/>
      <c r="M1675" s="540"/>
      <c r="O1675" s="540"/>
      <c r="S1675" s="550"/>
      <c r="T1675" s="547"/>
      <c r="U1675" s="547"/>
      <c r="V1675" s="547"/>
      <c r="W1675" s="549"/>
    </row>
    <row r="1676" spans="1:23">
      <c r="A1676" s="565">
        <v>2370</v>
      </c>
      <c r="B1676" s="696" t="s">
        <v>7082</v>
      </c>
      <c r="C1676" s="566">
        <f t="shared" si="26"/>
        <v>2370</v>
      </c>
      <c r="D1676" s="700" t="s">
        <v>2238</v>
      </c>
      <c r="E1676" s="701" t="s">
        <v>9551</v>
      </c>
      <c r="F1676" s="566">
        <v>2</v>
      </c>
      <c r="G1676" s="662">
        <v>0</v>
      </c>
      <c r="H1676" s="662">
        <v>18119.541241682375</v>
      </c>
      <c r="I1676" s="662">
        <v>19329.501583352605</v>
      </c>
      <c r="J1676" s="662">
        <v>20001.744254109479</v>
      </c>
      <c r="K1676" s="566" t="s">
        <v>3185</v>
      </c>
      <c r="L1676" s="549"/>
      <c r="M1676" s="540"/>
      <c r="O1676" s="540"/>
      <c r="S1676" s="550"/>
      <c r="T1676" s="547"/>
      <c r="U1676" s="547"/>
      <c r="V1676" s="547"/>
      <c r="W1676" s="549"/>
    </row>
    <row r="1677" spans="1:23">
      <c r="A1677" s="565">
        <v>2371</v>
      </c>
      <c r="B1677" s="696" t="s">
        <v>7083</v>
      </c>
      <c r="C1677" s="566">
        <f t="shared" si="26"/>
        <v>2371</v>
      </c>
      <c r="D1677" s="700" t="s">
        <v>2238</v>
      </c>
      <c r="E1677" s="701" t="s">
        <v>9552</v>
      </c>
      <c r="F1677" s="566">
        <v>2</v>
      </c>
      <c r="G1677" s="662">
        <v>13866.642342306814</v>
      </c>
      <c r="H1677" s="662">
        <v>14313.912023069575</v>
      </c>
      <c r="I1677" s="662">
        <v>14784.722213346169</v>
      </c>
      <c r="J1677" s="662">
        <v>15280.329135222013</v>
      </c>
      <c r="K1677" s="566" t="s">
        <v>4872</v>
      </c>
      <c r="L1677" s="549"/>
      <c r="M1677" s="540"/>
      <c r="O1677" s="540"/>
      <c r="S1677" s="550"/>
      <c r="T1677" s="547"/>
      <c r="U1677" s="547"/>
      <c r="V1677" s="547"/>
      <c r="W1677" s="549"/>
    </row>
    <row r="1678" spans="1:23">
      <c r="A1678" s="565">
        <v>2372</v>
      </c>
      <c r="B1678" s="696" t="s">
        <v>7084</v>
      </c>
      <c r="C1678" s="566">
        <f t="shared" si="26"/>
        <v>2372</v>
      </c>
      <c r="D1678" s="700" t="s">
        <v>2238</v>
      </c>
      <c r="E1678" s="701" t="s">
        <v>9553</v>
      </c>
      <c r="F1678" s="566">
        <v>2</v>
      </c>
      <c r="G1678" s="662">
        <v>14221.255386251518</v>
      </c>
      <c r="H1678" s="662">
        <v>14684.09129720324</v>
      </c>
      <c r="I1678" s="662">
        <v>15171.23237459035</v>
      </c>
      <c r="J1678" s="662">
        <v>15684.044077201366</v>
      </c>
      <c r="K1678" s="566" t="s">
        <v>4873</v>
      </c>
      <c r="L1678" s="549"/>
      <c r="M1678" s="540"/>
      <c r="O1678" s="540"/>
      <c r="S1678" s="550"/>
      <c r="T1678" s="547"/>
      <c r="U1678" s="547"/>
      <c r="V1678" s="547"/>
      <c r="W1678" s="549"/>
    </row>
    <row r="1679" spans="1:23">
      <c r="A1679" s="565">
        <v>2373</v>
      </c>
      <c r="B1679" s="696" t="s">
        <v>7085</v>
      </c>
      <c r="C1679" s="566">
        <f t="shared" si="26"/>
        <v>2373</v>
      </c>
      <c r="D1679" s="700" t="s">
        <v>2238</v>
      </c>
      <c r="E1679" s="701" t="s">
        <v>9554</v>
      </c>
      <c r="F1679" s="566">
        <v>2</v>
      </c>
      <c r="G1679" s="662">
        <v>14504.718694991965</v>
      </c>
      <c r="H1679" s="662">
        <v>14979.352169876372</v>
      </c>
      <c r="I1679" s="662">
        <v>15478.891613063115</v>
      </c>
      <c r="J1679" s="662">
        <v>16004.757101692237</v>
      </c>
      <c r="K1679" s="566" t="s">
        <v>4874</v>
      </c>
      <c r="L1679" s="549"/>
      <c r="M1679" s="540"/>
      <c r="O1679" s="540"/>
      <c r="S1679" s="550"/>
      <c r="T1679" s="547"/>
      <c r="U1679" s="547"/>
      <c r="V1679" s="547"/>
      <c r="W1679" s="549"/>
    </row>
    <row r="1680" spans="1:23">
      <c r="A1680" s="565">
        <v>2374</v>
      </c>
      <c r="B1680" s="696" t="s">
        <v>7086</v>
      </c>
      <c r="C1680" s="566">
        <f t="shared" si="26"/>
        <v>2374</v>
      </c>
      <c r="D1680" s="700" t="s">
        <v>2238</v>
      </c>
      <c r="E1680" s="701" t="s">
        <v>9555</v>
      </c>
      <c r="F1680" s="566">
        <v>2</v>
      </c>
      <c r="G1680" s="662">
        <v>14675.821671756974</v>
      </c>
      <c r="H1680" s="662">
        <v>15158.538662669331</v>
      </c>
      <c r="I1680" s="662">
        <v>15666.653187047885</v>
      </c>
      <c r="J1680" s="662">
        <v>16201.530703681137</v>
      </c>
      <c r="K1680" s="566" t="s">
        <v>4875</v>
      </c>
      <c r="L1680" s="549"/>
      <c r="M1680" s="540"/>
      <c r="O1680" s="540"/>
      <c r="S1680" s="550"/>
      <c r="T1680" s="547"/>
      <c r="U1680" s="547"/>
      <c r="V1680" s="547"/>
      <c r="W1680" s="549"/>
    </row>
    <row r="1681" spans="1:23">
      <c r="A1681" s="565">
        <v>2375</v>
      </c>
      <c r="B1681" s="696" t="s">
        <v>7087</v>
      </c>
      <c r="C1681" s="566">
        <f t="shared" si="26"/>
        <v>2375</v>
      </c>
      <c r="D1681" s="700" t="s">
        <v>2238</v>
      </c>
      <c r="E1681" s="701" t="s">
        <v>9556</v>
      </c>
      <c r="F1681" s="566">
        <v>2</v>
      </c>
      <c r="G1681" s="662">
        <v>0</v>
      </c>
      <c r="H1681" s="662">
        <v>0</v>
      </c>
      <c r="I1681" s="662">
        <v>0</v>
      </c>
      <c r="J1681" s="662">
        <v>17302.104612424646</v>
      </c>
      <c r="K1681" s="566" t="s">
        <v>4876</v>
      </c>
      <c r="L1681" s="549"/>
      <c r="M1681" s="540"/>
      <c r="O1681" s="540"/>
      <c r="S1681" s="550"/>
      <c r="T1681" s="547"/>
      <c r="U1681" s="547"/>
      <c r="V1681" s="547"/>
      <c r="W1681" s="549"/>
    </row>
    <row r="1682" spans="1:23">
      <c r="A1682" s="565">
        <v>2376</v>
      </c>
      <c r="B1682" s="696" t="s">
        <v>7088</v>
      </c>
      <c r="C1682" s="566">
        <f t="shared" si="26"/>
        <v>2376</v>
      </c>
      <c r="D1682" s="700" t="s">
        <v>2238</v>
      </c>
      <c r="E1682" s="701" t="s">
        <v>9557</v>
      </c>
      <c r="F1682" s="566">
        <v>2</v>
      </c>
      <c r="G1682" s="662">
        <v>20027.004736943629</v>
      </c>
      <c r="H1682" s="662">
        <v>20527.649201830605</v>
      </c>
      <c r="I1682" s="662">
        <v>21054.620824294845</v>
      </c>
      <c r="J1682" s="662">
        <v>21609.347840732946</v>
      </c>
      <c r="K1682" s="566" t="s">
        <v>2169</v>
      </c>
      <c r="L1682" s="549"/>
      <c r="M1682" s="540"/>
      <c r="O1682" s="540"/>
      <c r="S1682" s="550"/>
      <c r="T1682" s="547"/>
      <c r="U1682" s="547"/>
      <c r="V1682" s="547"/>
      <c r="W1682" s="549"/>
    </row>
    <row r="1683" spans="1:23">
      <c r="A1683" s="565">
        <v>2377</v>
      </c>
      <c r="B1683" s="696" t="s">
        <v>7089</v>
      </c>
      <c r="C1683" s="566">
        <f t="shared" si="26"/>
        <v>2377</v>
      </c>
      <c r="D1683" s="700" t="s">
        <v>2238</v>
      </c>
      <c r="E1683" s="701" t="s">
        <v>9558</v>
      </c>
      <c r="F1683" s="566">
        <v>2</v>
      </c>
      <c r="G1683" s="662">
        <v>20616.944439262832</v>
      </c>
      <c r="H1683" s="662">
        <v>21135.632290626811</v>
      </c>
      <c r="I1683" s="662">
        <v>21681.599457165787</v>
      </c>
      <c r="J1683" s="662">
        <v>22256.321783156236</v>
      </c>
      <c r="K1683" s="566" t="s">
        <v>2170</v>
      </c>
      <c r="L1683" s="549"/>
      <c r="M1683" s="540"/>
      <c r="O1683" s="540"/>
      <c r="S1683" s="550"/>
      <c r="T1683" s="547"/>
      <c r="U1683" s="547"/>
      <c r="V1683" s="547"/>
      <c r="W1683" s="549"/>
    </row>
    <row r="1684" spans="1:23">
      <c r="A1684" s="565">
        <v>2378</v>
      </c>
      <c r="B1684" s="696" t="s">
        <v>7090</v>
      </c>
      <c r="C1684" s="566">
        <f t="shared" si="26"/>
        <v>2378</v>
      </c>
      <c r="D1684" s="700" t="s">
        <v>2238</v>
      </c>
      <c r="E1684" s="701" t="s">
        <v>9559</v>
      </c>
      <c r="F1684" s="566">
        <v>2</v>
      </c>
      <c r="G1684" s="662">
        <v>19757.538780541683</v>
      </c>
      <c r="H1684" s="662">
        <v>20298.183887244919</v>
      </c>
      <c r="I1684" s="662">
        <v>20867.288483408753</v>
      </c>
      <c r="J1684" s="662">
        <v>21466.338436021237</v>
      </c>
      <c r="K1684" s="566" t="s">
        <v>4877</v>
      </c>
      <c r="L1684" s="549"/>
      <c r="M1684" s="540"/>
      <c r="O1684" s="540"/>
      <c r="S1684" s="550"/>
      <c r="T1684" s="547"/>
      <c r="U1684" s="547"/>
      <c r="V1684" s="547"/>
      <c r="W1684" s="549"/>
    </row>
    <row r="1685" spans="1:23">
      <c r="A1685" s="565">
        <v>2379</v>
      </c>
      <c r="B1685" s="696" t="s">
        <v>7091</v>
      </c>
      <c r="C1685" s="566">
        <f t="shared" si="26"/>
        <v>2379</v>
      </c>
      <c r="D1685" s="700" t="s">
        <v>2238</v>
      </c>
      <c r="E1685" s="701" t="s">
        <v>9560</v>
      </c>
      <c r="F1685" s="566">
        <v>2</v>
      </c>
      <c r="G1685" s="662">
        <v>19380.215827382635</v>
      </c>
      <c r="H1685" s="662">
        <v>19908.615686243469</v>
      </c>
      <c r="I1685" s="662">
        <v>20464.770939078164</v>
      </c>
      <c r="J1685" s="662">
        <v>21050.252645922974</v>
      </c>
      <c r="K1685" s="566" t="s">
        <v>4878</v>
      </c>
      <c r="L1685" s="549"/>
      <c r="M1685" s="540"/>
      <c r="O1685" s="540"/>
      <c r="S1685" s="550"/>
      <c r="T1685" s="547"/>
      <c r="U1685" s="547"/>
      <c r="V1685" s="547"/>
      <c r="W1685" s="549"/>
    </row>
    <row r="1686" spans="1:23">
      <c r="A1686" s="565">
        <v>2380</v>
      </c>
      <c r="B1686" s="696" t="s">
        <v>7092</v>
      </c>
      <c r="C1686" s="566">
        <f t="shared" si="26"/>
        <v>2380</v>
      </c>
      <c r="D1686" s="700" t="s">
        <v>2238</v>
      </c>
      <c r="E1686" s="701" t="s">
        <v>9561</v>
      </c>
      <c r="F1686" s="566">
        <v>2</v>
      </c>
      <c r="G1686" s="662">
        <v>18153.155597802128</v>
      </c>
      <c r="H1686" s="662">
        <v>18643.707192153157</v>
      </c>
      <c r="I1686" s="662">
        <v>19160.062257402693</v>
      </c>
      <c r="J1686" s="662">
        <v>19703.601422067451</v>
      </c>
      <c r="K1686" s="566" t="s">
        <v>4879</v>
      </c>
      <c r="L1686" s="549"/>
      <c r="M1686" s="540"/>
      <c r="O1686" s="540"/>
      <c r="S1686" s="550"/>
      <c r="T1686" s="547"/>
      <c r="U1686" s="547"/>
      <c r="V1686" s="547"/>
      <c r="W1686" s="549"/>
    </row>
    <row r="1687" spans="1:23">
      <c r="A1687" s="565">
        <v>2381</v>
      </c>
      <c r="B1687" s="696" t="s">
        <v>7093</v>
      </c>
      <c r="C1687" s="566">
        <f t="shared" si="26"/>
        <v>2381</v>
      </c>
      <c r="D1687" s="700" t="s">
        <v>2238</v>
      </c>
      <c r="E1687" s="701" t="s">
        <v>9562</v>
      </c>
      <c r="F1687" s="566">
        <v>2</v>
      </c>
      <c r="G1687" s="662">
        <v>25178.866691486597</v>
      </c>
      <c r="H1687" s="662">
        <v>26501.413594735001</v>
      </c>
      <c r="I1687" s="662">
        <v>27970.926023193188</v>
      </c>
      <c r="J1687" s="662">
        <v>29603.68587178236</v>
      </c>
      <c r="K1687" s="566" t="s">
        <v>4880</v>
      </c>
      <c r="L1687" s="549"/>
      <c r="M1687" s="540"/>
      <c r="O1687" s="540"/>
      <c r="S1687" s="550"/>
      <c r="T1687" s="547"/>
      <c r="U1687" s="547"/>
      <c r="V1687" s="547"/>
      <c r="W1687" s="549"/>
    </row>
    <row r="1688" spans="1:23">
      <c r="A1688" s="565">
        <v>2382</v>
      </c>
      <c r="B1688" s="696" t="s">
        <v>7094</v>
      </c>
      <c r="C1688" s="566">
        <f t="shared" si="26"/>
        <v>2382</v>
      </c>
      <c r="D1688" s="700" t="s">
        <v>2238</v>
      </c>
      <c r="E1688" s="701" t="s">
        <v>9563</v>
      </c>
      <c r="F1688" s="566">
        <v>2</v>
      </c>
      <c r="G1688" s="662">
        <v>27375.506736730982</v>
      </c>
      <c r="H1688" s="662">
        <v>28104.540483797715</v>
      </c>
      <c r="I1688" s="662">
        <v>28833.559948500482</v>
      </c>
      <c r="J1688" s="662">
        <v>29600.951364391804</v>
      </c>
      <c r="K1688" s="566" t="s">
        <v>2171</v>
      </c>
      <c r="L1688" s="549"/>
      <c r="M1688" s="540"/>
      <c r="O1688" s="540"/>
      <c r="S1688" s="550"/>
      <c r="T1688" s="547"/>
      <c r="U1688" s="547"/>
      <c r="V1688" s="547"/>
      <c r="W1688" s="549"/>
    </row>
    <row r="1689" spans="1:23">
      <c r="A1689" s="565">
        <v>2383</v>
      </c>
      <c r="B1689" s="696" t="s">
        <v>7095</v>
      </c>
      <c r="C1689" s="566">
        <f t="shared" si="26"/>
        <v>2383</v>
      </c>
      <c r="D1689" s="700" t="s">
        <v>2238</v>
      </c>
      <c r="E1689" s="701" t="s">
        <v>9564</v>
      </c>
      <c r="F1689" s="566">
        <v>2</v>
      </c>
      <c r="G1689" s="662">
        <v>16631.463789164991</v>
      </c>
      <c r="H1689" s="662">
        <v>17073.074482992637</v>
      </c>
      <c r="I1689" s="662">
        <v>17537.91782220493</v>
      </c>
      <c r="J1689" s="662">
        <v>18027.231611678904</v>
      </c>
      <c r="K1689" s="566" t="s">
        <v>4881</v>
      </c>
      <c r="L1689" s="549"/>
      <c r="M1689" s="540"/>
      <c r="O1689" s="540"/>
      <c r="S1689" s="550"/>
      <c r="T1689" s="547"/>
      <c r="U1689" s="547"/>
      <c r="V1689" s="547"/>
      <c r="W1689" s="549"/>
    </row>
    <row r="1690" spans="1:23">
      <c r="A1690" s="565">
        <v>2384</v>
      </c>
      <c r="B1690" s="696" t="s">
        <v>7096</v>
      </c>
      <c r="C1690" s="566">
        <f t="shared" si="26"/>
        <v>2384</v>
      </c>
      <c r="D1690" s="700" t="s">
        <v>2238</v>
      </c>
      <c r="E1690" s="701" t="s">
        <v>9565</v>
      </c>
      <c r="F1690" s="566">
        <v>2</v>
      </c>
      <c r="G1690" s="662">
        <v>16983.78888916118</v>
      </c>
      <c r="H1690" s="662">
        <v>17425.39958298883</v>
      </c>
      <c r="I1690" s="662">
        <v>17901.002303055484</v>
      </c>
      <c r="J1690" s="662">
        <v>18401.64676794246</v>
      </c>
      <c r="K1690" s="566" t="s">
        <v>2186</v>
      </c>
      <c r="L1690" s="549"/>
      <c r="M1690" s="540"/>
      <c r="O1690" s="540"/>
      <c r="S1690" s="550"/>
      <c r="T1690" s="547"/>
      <c r="U1690" s="547"/>
      <c r="V1690" s="547"/>
      <c r="W1690" s="549"/>
    </row>
    <row r="1691" spans="1:23">
      <c r="A1691" s="565">
        <v>2385</v>
      </c>
      <c r="B1691" s="696" t="s">
        <v>7097</v>
      </c>
      <c r="C1691" s="566">
        <f t="shared" si="26"/>
        <v>2385</v>
      </c>
      <c r="D1691" s="700" t="s">
        <v>2238</v>
      </c>
      <c r="E1691" s="701" t="s">
        <v>9566</v>
      </c>
      <c r="F1691" s="566">
        <v>2</v>
      </c>
      <c r="G1691" s="662">
        <v>0</v>
      </c>
      <c r="H1691" s="662">
        <v>0</v>
      </c>
      <c r="I1691" s="662">
        <v>0</v>
      </c>
      <c r="J1691" s="662">
        <v>25457.341410955178</v>
      </c>
      <c r="K1691" s="566" t="s">
        <v>4882</v>
      </c>
      <c r="L1691" s="549"/>
      <c r="M1691" s="540"/>
      <c r="O1691" s="540"/>
      <c r="S1691" s="550"/>
      <c r="T1691" s="547"/>
      <c r="U1691" s="547"/>
      <c r="V1691" s="547"/>
      <c r="W1691" s="549"/>
    </row>
    <row r="1692" spans="1:23">
      <c r="A1692" s="565">
        <v>2386</v>
      </c>
      <c r="B1692" s="696" t="s">
        <v>7098</v>
      </c>
      <c r="C1692" s="566">
        <f t="shared" si="26"/>
        <v>2386</v>
      </c>
      <c r="D1692" s="700" t="s">
        <v>2238</v>
      </c>
      <c r="E1692" s="701" t="s">
        <v>9567</v>
      </c>
      <c r="F1692" s="566">
        <v>2</v>
      </c>
      <c r="G1692" s="662">
        <v>0</v>
      </c>
      <c r="H1692" s="662">
        <v>0</v>
      </c>
      <c r="I1692" s="662">
        <v>0</v>
      </c>
      <c r="J1692" s="662">
        <v>24222.209158229703</v>
      </c>
      <c r="K1692" s="566" t="s">
        <v>4883</v>
      </c>
      <c r="L1692" s="549"/>
      <c r="M1692" s="540"/>
      <c r="O1692" s="540"/>
      <c r="S1692" s="550"/>
      <c r="T1692" s="547"/>
      <c r="U1692" s="547"/>
      <c r="V1692" s="547"/>
      <c r="W1692" s="549"/>
    </row>
    <row r="1693" spans="1:23">
      <c r="A1693" s="565">
        <v>2387</v>
      </c>
      <c r="B1693" s="696" t="s">
        <v>7099</v>
      </c>
      <c r="C1693" s="566">
        <f t="shared" si="26"/>
        <v>2387</v>
      </c>
      <c r="D1693" s="700" t="s">
        <v>2238</v>
      </c>
      <c r="E1693" s="701" t="s">
        <v>9568</v>
      </c>
      <c r="F1693" s="566">
        <v>2</v>
      </c>
      <c r="G1693" s="662">
        <v>20388.982790149927</v>
      </c>
      <c r="H1693" s="662">
        <v>20898.149065536592</v>
      </c>
      <c r="I1693" s="662">
        <v>21434.070969419507</v>
      </c>
      <c r="J1693" s="662">
        <v>21998.224346075138</v>
      </c>
      <c r="K1693" s="566" t="s">
        <v>2172</v>
      </c>
      <c r="L1693" s="549"/>
      <c r="M1693" s="540"/>
      <c r="O1693" s="540"/>
      <c r="S1693" s="550"/>
      <c r="T1693" s="547"/>
      <c r="U1693" s="547"/>
      <c r="V1693" s="547"/>
      <c r="W1693" s="549"/>
    </row>
    <row r="1694" spans="1:23">
      <c r="A1694" s="565">
        <v>2388</v>
      </c>
      <c r="B1694" s="696" t="s">
        <v>7100</v>
      </c>
      <c r="C1694" s="566">
        <f t="shared" si="26"/>
        <v>2388</v>
      </c>
      <c r="D1694" s="700" t="s">
        <v>2238</v>
      </c>
      <c r="E1694" s="701" t="s">
        <v>9569</v>
      </c>
      <c r="F1694" s="566">
        <v>2</v>
      </c>
      <c r="G1694" s="662">
        <v>0</v>
      </c>
      <c r="H1694" s="662">
        <v>0</v>
      </c>
      <c r="I1694" s="662">
        <v>30157.944913256699</v>
      </c>
      <c r="J1694" s="662">
        <v>0</v>
      </c>
      <c r="K1694" s="566" t="s">
        <v>4884</v>
      </c>
      <c r="L1694" s="549"/>
      <c r="M1694" s="540"/>
      <c r="O1694" s="540"/>
      <c r="S1694" s="550"/>
      <c r="T1694" s="547"/>
      <c r="U1694" s="547"/>
      <c r="V1694" s="547"/>
      <c r="W1694" s="549"/>
    </row>
    <row r="1695" spans="1:23">
      <c r="A1695" s="565">
        <v>2389</v>
      </c>
      <c r="B1695" s="696" t="s">
        <v>7101</v>
      </c>
      <c r="C1695" s="566">
        <f t="shared" si="26"/>
        <v>2389</v>
      </c>
      <c r="D1695" s="700" t="s">
        <v>2238</v>
      </c>
      <c r="E1695" s="701" t="s">
        <v>9570</v>
      </c>
      <c r="F1695" s="566">
        <v>2</v>
      </c>
      <c r="G1695" s="662">
        <v>0</v>
      </c>
      <c r="H1695" s="662">
        <v>0</v>
      </c>
      <c r="I1695" s="662">
        <v>31113.078271582177</v>
      </c>
      <c r="J1695" s="662">
        <v>0</v>
      </c>
      <c r="K1695" s="566" t="s">
        <v>4885</v>
      </c>
      <c r="L1695" s="549"/>
      <c r="M1695" s="540"/>
      <c r="O1695" s="540"/>
      <c r="S1695" s="550"/>
      <c r="T1695" s="547"/>
      <c r="U1695" s="547"/>
      <c r="V1695" s="547"/>
      <c r="W1695" s="549"/>
    </row>
    <row r="1696" spans="1:23">
      <c r="A1696" s="565">
        <v>2390</v>
      </c>
      <c r="B1696" s="696" t="s">
        <v>7102</v>
      </c>
      <c r="C1696" s="566">
        <f t="shared" si="26"/>
        <v>2390</v>
      </c>
      <c r="D1696" s="700" t="s">
        <v>2238</v>
      </c>
      <c r="E1696" s="701" t="s">
        <v>9571</v>
      </c>
      <c r="F1696" s="566">
        <v>2</v>
      </c>
      <c r="G1696" s="662">
        <v>0</v>
      </c>
      <c r="H1696" s="662">
        <v>0</v>
      </c>
      <c r="I1696" s="662">
        <v>32227.4005229619</v>
      </c>
      <c r="J1696" s="662">
        <v>0</v>
      </c>
      <c r="K1696" s="566" t="s">
        <v>4886</v>
      </c>
      <c r="L1696" s="549"/>
      <c r="M1696" s="540"/>
      <c r="O1696" s="540"/>
      <c r="S1696" s="550"/>
      <c r="T1696" s="547"/>
      <c r="U1696" s="547"/>
      <c r="V1696" s="547"/>
      <c r="W1696" s="549"/>
    </row>
    <row r="1697" spans="1:23">
      <c r="A1697" s="565">
        <v>2391</v>
      </c>
      <c r="B1697" s="696" t="s">
        <v>7103</v>
      </c>
      <c r="C1697" s="566">
        <f t="shared" si="26"/>
        <v>2391</v>
      </c>
      <c r="D1697" s="700" t="s">
        <v>2238</v>
      </c>
      <c r="E1697" s="701" t="s">
        <v>9572</v>
      </c>
      <c r="F1697" s="566">
        <v>2</v>
      </c>
      <c r="G1697" s="662">
        <v>0</v>
      </c>
      <c r="H1697" s="662">
        <v>0</v>
      </c>
      <c r="I1697" s="662">
        <v>33188.901437009554</v>
      </c>
      <c r="J1697" s="662">
        <v>0</v>
      </c>
      <c r="K1697" s="566" t="s">
        <v>4887</v>
      </c>
      <c r="L1697" s="549"/>
      <c r="M1697" s="540"/>
      <c r="O1697" s="540"/>
      <c r="S1697" s="550"/>
      <c r="T1697" s="547"/>
      <c r="U1697" s="547"/>
      <c r="V1697" s="547"/>
      <c r="W1697" s="549"/>
    </row>
    <row r="1698" spans="1:23">
      <c r="A1698" s="565">
        <v>2392</v>
      </c>
      <c r="B1698" s="696" t="s">
        <v>7104</v>
      </c>
      <c r="C1698" s="566">
        <f t="shared" si="26"/>
        <v>2392</v>
      </c>
      <c r="D1698" s="700" t="s">
        <v>2238</v>
      </c>
      <c r="E1698" s="701" t="s">
        <v>9573</v>
      </c>
      <c r="F1698" s="566">
        <v>1</v>
      </c>
      <c r="G1698" s="662">
        <v>0</v>
      </c>
      <c r="H1698" s="662">
        <v>0</v>
      </c>
      <c r="I1698" s="662">
        <v>0</v>
      </c>
      <c r="J1698" s="662">
        <v>22183.623415950107</v>
      </c>
      <c r="K1698" s="566" t="s">
        <v>4888</v>
      </c>
      <c r="L1698" s="549"/>
      <c r="M1698" s="540"/>
      <c r="O1698" s="540"/>
      <c r="S1698" s="550"/>
      <c r="T1698" s="547"/>
      <c r="U1698" s="547"/>
      <c r="V1698" s="547"/>
      <c r="W1698" s="549"/>
    </row>
    <row r="1699" spans="1:23">
      <c r="A1699" s="565">
        <v>2393</v>
      </c>
      <c r="B1699" s="696" t="s">
        <v>7105</v>
      </c>
      <c r="C1699" s="566">
        <f t="shared" si="26"/>
        <v>2393</v>
      </c>
      <c r="D1699" s="700" t="s">
        <v>2238</v>
      </c>
      <c r="E1699" s="701" t="s">
        <v>9574</v>
      </c>
      <c r="F1699" s="566">
        <v>1</v>
      </c>
      <c r="G1699" s="662">
        <v>0</v>
      </c>
      <c r="H1699" s="662">
        <v>0</v>
      </c>
      <c r="I1699" s="662">
        <v>0</v>
      </c>
      <c r="J1699" s="662">
        <v>20426.130848322664</v>
      </c>
      <c r="K1699" s="566" t="s">
        <v>4889</v>
      </c>
      <c r="L1699" s="549"/>
      <c r="M1699" s="540"/>
      <c r="O1699" s="540"/>
      <c r="S1699" s="550"/>
      <c r="T1699" s="547"/>
      <c r="U1699" s="547"/>
      <c r="V1699" s="547"/>
      <c r="W1699" s="549"/>
    </row>
    <row r="1700" spans="1:23">
      <c r="A1700" s="565">
        <v>2394</v>
      </c>
      <c r="B1700" s="696" t="s">
        <v>7106</v>
      </c>
      <c r="C1700" s="566">
        <f t="shared" si="26"/>
        <v>2394</v>
      </c>
      <c r="D1700" s="700" t="s">
        <v>2238</v>
      </c>
      <c r="E1700" s="701" t="s">
        <v>9575</v>
      </c>
      <c r="F1700" s="566">
        <v>1</v>
      </c>
      <c r="G1700" s="662">
        <v>0</v>
      </c>
      <c r="H1700" s="662">
        <v>0</v>
      </c>
      <c r="I1700" s="662">
        <v>0</v>
      </c>
      <c r="J1700" s="662">
        <v>21295.647027484738</v>
      </c>
      <c r="K1700" s="566" t="s">
        <v>4890</v>
      </c>
      <c r="L1700" s="549"/>
      <c r="M1700" s="540"/>
      <c r="O1700" s="540"/>
      <c r="S1700" s="550"/>
      <c r="T1700" s="547"/>
      <c r="U1700" s="547"/>
      <c r="V1700" s="547"/>
      <c r="W1700" s="549"/>
    </row>
    <row r="1701" spans="1:23">
      <c r="A1701" s="565">
        <v>2395</v>
      </c>
      <c r="B1701" s="696" t="s">
        <v>7107</v>
      </c>
      <c r="C1701" s="566">
        <f t="shared" si="26"/>
        <v>2395</v>
      </c>
      <c r="D1701" s="700" t="s">
        <v>2238</v>
      </c>
      <c r="E1701" s="701" t="s">
        <v>9576</v>
      </c>
      <c r="F1701" s="566">
        <v>1</v>
      </c>
      <c r="G1701" s="662">
        <v>0</v>
      </c>
      <c r="H1701" s="662">
        <v>0</v>
      </c>
      <c r="I1701" s="662">
        <v>0</v>
      </c>
      <c r="J1701" s="662">
        <v>23510.396836183492</v>
      </c>
      <c r="K1701" s="566" t="s">
        <v>4891</v>
      </c>
      <c r="L1701" s="549"/>
      <c r="M1701" s="540"/>
      <c r="O1701" s="540"/>
      <c r="S1701" s="550"/>
      <c r="T1701" s="547"/>
      <c r="U1701" s="547"/>
      <c r="V1701" s="547"/>
      <c r="W1701" s="549"/>
    </row>
    <row r="1702" spans="1:23">
      <c r="A1702" s="565">
        <v>2396</v>
      </c>
      <c r="B1702" s="696" t="s">
        <v>7108</v>
      </c>
      <c r="C1702" s="566">
        <f t="shared" si="26"/>
        <v>2396</v>
      </c>
      <c r="D1702" s="700" t="s">
        <v>2238</v>
      </c>
      <c r="E1702" s="701" t="s">
        <v>9577</v>
      </c>
      <c r="F1702" s="566">
        <v>1</v>
      </c>
      <c r="G1702" s="662">
        <v>0</v>
      </c>
      <c r="H1702" s="662">
        <v>0</v>
      </c>
      <c r="I1702" s="662">
        <v>0</v>
      </c>
      <c r="J1702" s="662">
        <v>25140.299292801614</v>
      </c>
      <c r="K1702" s="566" t="s">
        <v>4892</v>
      </c>
      <c r="L1702" s="549"/>
      <c r="M1702" s="540"/>
      <c r="O1702" s="540"/>
      <c r="S1702" s="550"/>
      <c r="T1702" s="547"/>
      <c r="U1702" s="547"/>
      <c r="V1702" s="547"/>
      <c r="W1702" s="549"/>
    </row>
    <row r="1703" spans="1:23">
      <c r="A1703" s="565">
        <v>2397</v>
      </c>
      <c r="B1703" s="696" t="s">
        <v>7109</v>
      </c>
      <c r="C1703" s="566">
        <f t="shared" si="26"/>
        <v>2397</v>
      </c>
      <c r="D1703" s="700" t="s">
        <v>2238</v>
      </c>
      <c r="E1703" s="701" t="s">
        <v>9578</v>
      </c>
      <c r="F1703" s="566">
        <v>2</v>
      </c>
      <c r="G1703" s="662">
        <v>0</v>
      </c>
      <c r="H1703" s="662">
        <v>0</v>
      </c>
      <c r="I1703" s="662">
        <v>0</v>
      </c>
      <c r="J1703" s="662">
        <v>24352.977620921858</v>
      </c>
      <c r="K1703" s="566" t="s">
        <v>4893</v>
      </c>
      <c r="L1703" s="549"/>
      <c r="M1703" s="540"/>
      <c r="O1703" s="540"/>
      <c r="S1703" s="550"/>
      <c r="T1703" s="547"/>
      <c r="U1703" s="547"/>
      <c r="V1703" s="547"/>
      <c r="W1703" s="549"/>
    </row>
    <row r="1704" spans="1:23">
      <c r="A1704" s="565">
        <v>2398</v>
      </c>
      <c r="B1704" s="696" t="s">
        <v>7110</v>
      </c>
      <c r="C1704" s="566">
        <f t="shared" si="26"/>
        <v>2398</v>
      </c>
      <c r="D1704" s="700" t="s">
        <v>2238</v>
      </c>
      <c r="E1704" s="701" t="s">
        <v>9579</v>
      </c>
      <c r="F1704" s="566">
        <v>2</v>
      </c>
      <c r="G1704" s="662">
        <v>0</v>
      </c>
      <c r="H1704" s="662">
        <v>0</v>
      </c>
      <c r="I1704" s="662">
        <v>0</v>
      </c>
      <c r="J1704" s="662">
        <v>24846.629202043838</v>
      </c>
      <c r="K1704" s="566" t="s">
        <v>4894</v>
      </c>
      <c r="L1704" s="549"/>
      <c r="M1704" s="540"/>
      <c r="O1704" s="540"/>
      <c r="S1704" s="550"/>
      <c r="T1704" s="547"/>
      <c r="U1704" s="547"/>
      <c r="V1704" s="547"/>
      <c r="W1704" s="549"/>
    </row>
    <row r="1705" spans="1:23">
      <c r="A1705" s="565">
        <v>2399</v>
      </c>
      <c r="B1705" s="696" t="s">
        <v>7111</v>
      </c>
      <c r="C1705" s="566">
        <f t="shared" si="26"/>
        <v>2399</v>
      </c>
      <c r="D1705" s="700" t="s">
        <v>2238</v>
      </c>
      <c r="E1705" s="701" t="s">
        <v>9580</v>
      </c>
      <c r="F1705" s="566">
        <v>2</v>
      </c>
      <c r="G1705" s="662">
        <v>0</v>
      </c>
      <c r="H1705" s="662">
        <v>0</v>
      </c>
      <c r="I1705" s="662">
        <v>0</v>
      </c>
      <c r="J1705" s="662">
        <v>27050.577720837809</v>
      </c>
      <c r="K1705" s="566" t="s">
        <v>4895</v>
      </c>
      <c r="L1705" s="549"/>
      <c r="M1705" s="540"/>
      <c r="O1705" s="540"/>
      <c r="S1705" s="550"/>
      <c r="T1705" s="547"/>
      <c r="U1705" s="547"/>
      <c r="V1705" s="547"/>
      <c r="W1705" s="549"/>
    </row>
    <row r="1706" spans="1:23">
      <c r="A1706" s="565">
        <v>2400</v>
      </c>
      <c r="B1706" s="696" t="s">
        <v>7112</v>
      </c>
      <c r="C1706" s="566">
        <f t="shared" si="26"/>
        <v>2400</v>
      </c>
      <c r="D1706" s="700" t="s">
        <v>2238</v>
      </c>
      <c r="E1706" s="701" t="s">
        <v>9581</v>
      </c>
      <c r="F1706" s="566">
        <v>2</v>
      </c>
      <c r="G1706" s="662">
        <v>0</v>
      </c>
      <c r="H1706" s="662">
        <v>0</v>
      </c>
      <c r="I1706" s="662">
        <v>0</v>
      </c>
      <c r="J1706" s="662">
        <v>27559.982178611397</v>
      </c>
      <c r="K1706" s="566" t="s">
        <v>4896</v>
      </c>
      <c r="L1706" s="549"/>
      <c r="M1706" s="540"/>
      <c r="O1706" s="540"/>
      <c r="S1706" s="550"/>
      <c r="T1706" s="547"/>
      <c r="U1706" s="547"/>
      <c r="V1706" s="547"/>
      <c r="W1706" s="549"/>
    </row>
    <row r="1707" spans="1:23">
      <c r="A1707" s="565">
        <v>2401</v>
      </c>
      <c r="B1707" s="696" t="s">
        <v>7113</v>
      </c>
      <c r="C1707" s="566">
        <f t="shared" si="26"/>
        <v>2401</v>
      </c>
      <c r="D1707" s="700" t="s">
        <v>2238</v>
      </c>
      <c r="E1707" s="701" t="s">
        <v>9582</v>
      </c>
      <c r="F1707" s="566">
        <v>2</v>
      </c>
      <c r="G1707" s="662">
        <v>0</v>
      </c>
      <c r="H1707" s="662">
        <v>0</v>
      </c>
      <c r="I1707" s="662">
        <v>0</v>
      </c>
      <c r="J1707" s="662">
        <v>27509.041732834037</v>
      </c>
      <c r="K1707" s="566" t="s">
        <v>4897</v>
      </c>
      <c r="L1707" s="549"/>
      <c r="M1707" s="540"/>
      <c r="O1707" s="540"/>
      <c r="S1707" s="550"/>
      <c r="T1707" s="547"/>
      <c r="U1707" s="547"/>
      <c r="V1707" s="547"/>
      <c r="W1707" s="549"/>
    </row>
    <row r="1708" spans="1:23">
      <c r="A1708" s="565">
        <v>2402</v>
      </c>
      <c r="B1708" s="696" t="s">
        <v>7114</v>
      </c>
      <c r="C1708" s="566">
        <f t="shared" si="26"/>
        <v>2402</v>
      </c>
      <c r="D1708" s="700" t="s">
        <v>2238</v>
      </c>
      <c r="E1708" s="701" t="s">
        <v>9583</v>
      </c>
      <c r="F1708" s="566">
        <v>2</v>
      </c>
      <c r="G1708" s="662">
        <v>0</v>
      </c>
      <c r="H1708" s="662">
        <v>0</v>
      </c>
      <c r="I1708" s="662">
        <v>0</v>
      </c>
      <c r="J1708" s="662">
        <v>24797.873490328086</v>
      </c>
      <c r="K1708" s="566" t="s">
        <v>4898</v>
      </c>
      <c r="L1708" s="549"/>
      <c r="M1708" s="540"/>
      <c r="O1708" s="540"/>
      <c r="S1708" s="550"/>
      <c r="T1708" s="547"/>
      <c r="U1708" s="547"/>
      <c r="V1708" s="547"/>
      <c r="W1708" s="549"/>
    </row>
    <row r="1709" spans="1:23">
      <c r="A1709" s="565">
        <v>2403</v>
      </c>
      <c r="B1709" s="696" t="s">
        <v>7115</v>
      </c>
      <c r="C1709" s="566">
        <f t="shared" si="26"/>
        <v>2403</v>
      </c>
      <c r="D1709" s="700" t="s">
        <v>2238</v>
      </c>
      <c r="E1709" s="701" t="s">
        <v>9584</v>
      </c>
      <c r="F1709" s="566">
        <v>2</v>
      </c>
      <c r="G1709" s="662">
        <v>0</v>
      </c>
      <c r="H1709" s="662">
        <v>0</v>
      </c>
      <c r="I1709" s="662">
        <v>0</v>
      </c>
      <c r="J1709" s="662">
        <v>23487.563737967288</v>
      </c>
      <c r="K1709" s="566" t="s">
        <v>4899</v>
      </c>
      <c r="L1709" s="549"/>
      <c r="M1709" s="540"/>
      <c r="O1709" s="540"/>
      <c r="S1709" s="550"/>
      <c r="T1709" s="547"/>
      <c r="U1709" s="547"/>
      <c r="V1709" s="547"/>
      <c r="W1709" s="549"/>
    </row>
    <row r="1710" spans="1:23">
      <c r="A1710" s="565">
        <v>2404</v>
      </c>
      <c r="B1710" s="696" t="s">
        <v>7116</v>
      </c>
      <c r="C1710" s="566">
        <f t="shared" si="26"/>
        <v>2404</v>
      </c>
      <c r="D1710" s="700" t="s">
        <v>2238</v>
      </c>
      <c r="E1710" s="701" t="s">
        <v>9585</v>
      </c>
      <c r="F1710" s="566">
        <v>2</v>
      </c>
      <c r="G1710" s="662">
        <v>0</v>
      </c>
      <c r="H1710" s="662">
        <v>0</v>
      </c>
      <c r="I1710" s="662">
        <v>0</v>
      </c>
      <c r="J1710" s="662">
        <v>25029.463120977896</v>
      </c>
      <c r="K1710" s="566" t="s">
        <v>4900</v>
      </c>
      <c r="L1710" s="549"/>
      <c r="M1710" s="540"/>
      <c r="O1710" s="540"/>
      <c r="S1710" s="550"/>
      <c r="T1710" s="547"/>
      <c r="U1710" s="547"/>
      <c r="V1710" s="547"/>
      <c r="W1710" s="549"/>
    </row>
    <row r="1711" spans="1:23">
      <c r="A1711" s="565">
        <v>2405</v>
      </c>
      <c r="B1711" s="696" t="s">
        <v>7117</v>
      </c>
      <c r="C1711" s="566">
        <f t="shared" si="26"/>
        <v>2405</v>
      </c>
      <c r="D1711" s="700" t="s">
        <v>2238</v>
      </c>
      <c r="E1711" s="701" t="s">
        <v>9586</v>
      </c>
      <c r="F1711" s="566">
        <v>2</v>
      </c>
      <c r="G1711" s="662">
        <v>0</v>
      </c>
      <c r="H1711" s="662">
        <v>0</v>
      </c>
      <c r="I1711" s="662">
        <v>0</v>
      </c>
      <c r="J1711" s="662">
        <v>27757.376405998664</v>
      </c>
      <c r="K1711" s="566" t="s">
        <v>4901</v>
      </c>
      <c r="L1711" s="549"/>
      <c r="M1711" s="540"/>
      <c r="O1711" s="540"/>
      <c r="S1711" s="550"/>
      <c r="T1711" s="547"/>
      <c r="U1711" s="547"/>
      <c r="V1711" s="547"/>
      <c r="W1711" s="549"/>
    </row>
    <row r="1712" spans="1:23">
      <c r="A1712" s="565">
        <v>2406</v>
      </c>
      <c r="B1712" s="696" t="s">
        <v>7118</v>
      </c>
      <c r="C1712" s="566">
        <f t="shared" si="26"/>
        <v>2406</v>
      </c>
      <c r="D1712" s="700" t="s">
        <v>2238</v>
      </c>
      <c r="E1712" s="701" t="s">
        <v>9587</v>
      </c>
      <c r="F1712" s="566">
        <v>2</v>
      </c>
      <c r="G1712" s="662">
        <v>0</v>
      </c>
      <c r="H1712" s="662">
        <v>0</v>
      </c>
      <c r="I1712" s="662">
        <v>0</v>
      </c>
      <c r="J1712" s="662">
        <v>26108.179473956669</v>
      </c>
      <c r="K1712" s="566" t="s">
        <v>4902</v>
      </c>
      <c r="L1712" s="549"/>
      <c r="M1712" s="540"/>
      <c r="O1712" s="540"/>
      <c r="S1712" s="550"/>
      <c r="T1712" s="547"/>
      <c r="U1712" s="547"/>
      <c r="V1712" s="547"/>
      <c r="W1712" s="549"/>
    </row>
    <row r="1713" spans="1:23">
      <c r="A1713" s="565">
        <v>2407</v>
      </c>
      <c r="B1713" s="695" t="s">
        <v>7119</v>
      </c>
      <c r="C1713" s="566">
        <f t="shared" si="26"/>
        <v>2407</v>
      </c>
      <c r="D1713" s="699" t="s">
        <v>2238</v>
      </c>
      <c r="E1713" s="701" t="s">
        <v>9588</v>
      </c>
      <c r="F1713" s="567">
        <v>1</v>
      </c>
      <c r="G1713" s="662">
        <v>0</v>
      </c>
      <c r="H1713" s="662">
        <v>23068.463130119857</v>
      </c>
      <c r="I1713" s="662">
        <v>23576.928626193316</v>
      </c>
      <c r="J1713" s="662">
        <v>24112.157807950796</v>
      </c>
      <c r="K1713" s="568" t="s">
        <v>3186</v>
      </c>
      <c r="L1713" s="549"/>
      <c r="M1713" s="540"/>
      <c r="O1713" s="540"/>
      <c r="S1713" s="550"/>
      <c r="T1713" s="547"/>
      <c r="U1713" s="547"/>
      <c r="V1713" s="547"/>
      <c r="W1713" s="549"/>
    </row>
    <row r="1714" spans="1:23">
      <c r="A1714" s="565">
        <v>2408</v>
      </c>
      <c r="B1714" s="695" t="s">
        <v>7120</v>
      </c>
      <c r="C1714" s="566">
        <f t="shared" si="26"/>
        <v>2408</v>
      </c>
      <c r="D1714" s="699" t="s">
        <v>2238</v>
      </c>
      <c r="E1714" s="701" t="s">
        <v>9589</v>
      </c>
      <c r="F1714" s="567">
        <v>1</v>
      </c>
      <c r="G1714" s="662">
        <v>27543.613947768841</v>
      </c>
      <c r="H1714" s="662">
        <v>0</v>
      </c>
      <c r="I1714" s="662">
        <v>0</v>
      </c>
      <c r="J1714" s="662">
        <v>0</v>
      </c>
      <c r="K1714" s="568" t="s">
        <v>5315</v>
      </c>
      <c r="L1714" s="549"/>
      <c r="M1714" s="540"/>
      <c r="O1714" s="540"/>
      <c r="S1714" s="550"/>
      <c r="T1714" s="547"/>
      <c r="U1714" s="547"/>
      <c r="V1714" s="547"/>
      <c r="W1714" s="549"/>
    </row>
    <row r="1715" spans="1:23">
      <c r="A1715" s="565">
        <v>2409</v>
      </c>
      <c r="B1715" s="696" t="s">
        <v>7121</v>
      </c>
      <c r="C1715" s="566">
        <f t="shared" si="26"/>
        <v>2409</v>
      </c>
      <c r="D1715" s="700" t="s">
        <v>2238</v>
      </c>
      <c r="E1715" s="701" t="s">
        <v>9590</v>
      </c>
      <c r="F1715" s="566">
        <v>1</v>
      </c>
      <c r="G1715" s="662">
        <v>30515.393605113575</v>
      </c>
      <c r="H1715" s="662">
        <v>0</v>
      </c>
      <c r="I1715" s="662">
        <v>0</v>
      </c>
      <c r="J1715" s="662">
        <v>0</v>
      </c>
      <c r="K1715" s="566" t="s">
        <v>5316</v>
      </c>
      <c r="L1715" s="549"/>
      <c r="M1715" s="540"/>
      <c r="O1715" s="540"/>
      <c r="S1715" s="550"/>
      <c r="T1715" s="547"/>
      <c r="U1715" s="547"/>
      <c r="V1715" s="547"/>
      <c r="W1715" s="549"/>
    </row>
    <row r="1716" spans="1:23">
      <c r="A1716" s="565">
        <v>2410</v>
      </c>
      <c r="B1716" s="696" t="s">
        <v>7122</v>
      </c>
      <c r="C1716" s="566">
        <f t="shared" si="26"/>
        <v>2410</v>
      </c>
      <c r="D1716" s="700" t="s">
        <v>2238</v>
      </c>
      <c r="E1716" s="701" t="s">
        <v>9591</v>
      </c>
      <c r="F1716" s="566">
        <v>1</v>
      </c>
      <c r="G1716" s="662">
        <v>0</v>
      </c>
      <c r="H1716" s="662">
        <v>0</v>
      </c>
      <c r="I1716" s="662">
        <v>0</v>
      </c>
      <c r="J1716" s="662">
        <v>23021.653306037402</v>
      </c>
      <c r="K1716" s="566" t="s">
        <v>4903</v>
      </c>
      <c r="L1716" s="549"/>
      <c r="M1716" s="540"/>
      <c r="O1716" s="540"/>
      <c r="S1716" s="550"/>
      <c r="T1716" s="547"/>
      <c r="U1716" s="547"/>
      <c r="V1716" s="547"/>
      <c r="W1716" s="549"/>
    </row>
    <row r="1717" spans="1:23">
      <c r="A1717" s="565">
        <v>2411</v>
      </c>
      <c r="B1717" s="696" t="s">
        <v>7123</v>
      </c>
      <c r="C1717" s="566">
        <f t="shared" si="26"/>
        <v>2411</v>
      </c>
      <c r="D1717" s="700" t="s">
        <v>2238</v>
      </c>
      <c r="E1717" s="701" t="s">
        <v>9592</v>
      </c>
      <c r="F1717" s="566">
        <v>1</v>
      </c>
      <c r="G1717" s="662">
        <v>0</v>
      </c>
      <c r="H1717" s="662">
        <v>24958.034010512452</v>
      </c>
      <c r="I1717" s="662">
        <v>25512.901770284338</v>
      </c>
      <c r="J1717" s="662">
        <v>26096.982471501666</v>
      </c>
      <c r="K1717" s="566" t="s">
        <v>3187</v>
      </c>
      <c r="L1717" s="549"/>
      <c r="M1717" s="540"/>
      <c r="O1717" s="540"/>
      <c r="S1717" s="550"/>
      <c r="T1717" s="547"/>
      <c r="U1717" s="547"/>
      <c r="V1717" s="547"/>
      <c r="W1717" s="549"/>
    </row>
    <row r="1718" spans="1:23">
      <c r="A1718" s="565">
        <v>2412</v>
      </c>
      <c r="B1718" s="696" t="s">
        <v>7124</v>
      </c>
      <c r="C1718" s="566">
        <f t="shared" si="26"/>
        <v>2412</v>
      </c>
      <c r="D1718" s="700" t="s">
        <v>2238</v>
      </c>
      <c r="E1718" s="701" t="s">
        <v>9593</v>
      </c>
      <c r="F1718" s="566">
        <v>1</v>
      </c>
      <c r="G1718" s="662">
        <v>25640.856215017964</v>
      </c>
      <c r="H1718" s="662">
        <v>0</v>
      </c>
      <c r="I1718" s="662">
        <v>0</v>
      </c>
      <c r="J1718" s="662">
        <v>0</v>
      </c>
      <c r="K1718" s="566" t="s">
        <v>5317</v>
      </c>
      <c r="L1718" s="549"/>
      <c r="M1718" s="540"/>
      <c r="O1718" s="540"/>
      <c r="S1718" s="550"/>
      <c r="T1718" s="547"/>
      <c r="U1718" s="547"/>
      <c r="V1718" s="547"/>
      <c r="W1718" s="549"/>
    </row>
    <row r="1719" spans="1:23">
      <c r="A1719" s="565">
        <v>2413</v>
      </c>
      <c r="B1719" s="696" t="s">
        <v>7125</v>
      </c>
      <c r="C1719" s="566">
        <f t="shared" si="26"/>
        <v>2413</v>
      </c>
      <c r="D1719" s="700" t="s">
        <v>2238</v>
      </c>
      <c r="E1719" s="701" t="s">
        <v>9594</v>
      </c>
      <c r="F1719" s="566">
        <v>1</v>
      </c>
      <c r="G1719" s="662">
        <v>23931.377797632336</v>
      </c>
      <c r="H1719" s="662">
        <v>0</v>
      </c>
      <c r="I1719" s="662">
        <v>0</v>
      </c>
      <c r="J1719" s="662">
        <v>0</v>
      </c>
      <c r="K1719" s="566" t="s">
        <v>5318</v>
      </c>
      <c r="L1719" s="549"/>
      <c r="M1719" s="540"/>
      <c r="O1719" s="540"/>
      <c r="S1719" s="550"/>
      <c r="T1719" s="547"/>
      <c r="U1719" s="547"/>
      <c r="V1719" s="547"/>
      <c r="W1719" s="549"/>
    </row>
    <row r="1720" spans="1:23">
      <c r="A1720" s="565">
        <v>2414</v>
      </c>
      <c r="B1720" s="695" t="s">
        <v>7126</v>
      </c>
      <c r="C1720" s="566">
        <f t="shared" si="26"/>
        <v>2414</v>
      </c>
      <c r="D1720" s="699" t="s">
        <v>2238</v>
      </c>
      <c r="E1720" s="701" t="s">
        <v>9595</v>
      </c>
      <c r="F1720" s="567">
        <v>1</v>
      </c>
      <c r="G1720" s="662">
        <v>19977.731579403116</v>
      </c>
      <c r="H1720" s="662">
        <v>0</v>
      </c>
      <c r="I1720" s="662">
        <v>0</v>
      </c>
      <c r="J1720" s="662">
        <v>0</v>
      </c>
      <c r="K1720" s="568" t="s">
        <v>5319</v>
      </c>
      <c r="L1720" s="549"/>
      <c r="M1720" s="540"/>
      <c r="O1720" s="540"/>
      <c r="S1720" s="550"/>
      <c r="T1720" s="547"/>
      <c r="U1720" s="547"/>
      <c r="V1720" s="547"/>
      <c r="W1720" s="549"/>
    </row>
    <row r="1721" spans="1:23">
      <c r="A1721" s="565">
        <v>2415</v>
      </c>
      <c r="B1721" s="695" t="s">
        <v>7127</v>
      </c>
      <c r="C1721" s="566">
        <f t="shared" si="26"/>
        <v>2415</v>
      </c>
      <c r="D1721" s="699" t="s">
        <v>2238</v>
      </c>
      <c r="E1721" s="701" t="s">
        <v>9596</v>
      </c>
      <c r="F1721" s="567">
        <v>1</v>
      </c>
      <c r="G1721" s="662">
        <v>21495.427387986558</v>
      </c>
      <c r="H1721" s="662">
        <v>0</v>
      </c>
      <c r="I1721" s="662">
        <v>0</v>
      </c>
      <c r="J1721" s="662">
        <v>0</v>
      </c>
      <c r="K1721" s="568" t="s">
        <v>5320</v>
      </c>
      <c r="L1721" s="549"/>
      <c r="M1721" s="540"/>
      <c r="O1721" s="540"/>
      <c r="S1721" s="550"/>
      <c r="T1721" s="547"/>
      <c r="U1721" s="547"/>
      <c r="V1721" s="547"/>
      <c r="W1721" s="549"/>
    </row>
    <row r="1722" spans="1:23">
      <c r="A1722" s="565">
        <v>2416</v>
      </c>
      <c r="B1722" s="695" t="s">
        <v>7128</v>
      </c>
      <c r="C1722" s="566">
        <f t="shared" si="26"/>
        <v>2416</v>
      </c>
      <c r="D1722" s="699" t="s">
        <v>2238</v>
      </c>
      <c r="E1722" s="701" t="s">
        <v>9597</v>
      </c>
      <c r="F1722" s="567">
        <v>1</v>
      </c>
      <c r="G1722" s="662">
        <v>0</v>
      </c>
      <c r="H1722" s="662">
        <v>21934.720601884295</v>
      </c>
      <c r="I1722" s="662">
        <v>22415.331380161824</v>
      </c>
      <c r="J1722" s="662">
        <v>22921.258556627981</v>
      </c>
      <c r="K1722" s="568" t="s">
        <v>3188</v>
      </c>
      <c r="L1722" s="549"/>
      <c r="M1722" s="540"/>
      <c r="O1722" s="540"/>
      <c r="S1722" s="550"/>
      <c r="T1722" s="547"/>
      <c r="U1722" s="547"/>
      <c r="V1722" s="547"/>
      <c r="W1722" s="549"/>
    </row>
    <row r="1723" spans="1:23">
      <c r="A1723" s="565">
        <v>2417</v>
      </c>
      <c r="B1723" s="695" t="s">
        <v>7129</v>
      </c>
      <c r="C1723" s="566">
        <f t="shared" si="26"/>
        <v>2417</v>
      </c>
      <c r="D1723" s="699" t="s">
        <v>2238</v>
      </c>
      <c r="E1723" s="701" t="s">
        <v>9598</v>
      </c>
      <c r="F1723" s="567">
        <v>1</v>
      </c>
      <c r="G1723" s="662">
        <v>21604.045697815589</v>
      </c>
      <c r="H1723" s="662">
        <v>0</v>
      </c>
      <c r="I1723" s="662">
        <v>0</v>
      </c>
      <c r="J1723" s="662">
        <v>0</v>
      </c>
      <c r="K1723" s="568" t="s">
        <v>5321</v>
      </c>
      <c r="L1723" s="549"/>
      <c r="M1723" s="540"/>
      <c r="O1723" s="540"/>
      <c r="S1723" s="550"/>
      <c r="T1723" s="547"/>
      <c r="U1723" s="547"/>
      <c r="V1723" s="547"/>
      <c r="W1723" s="549"/>
    </row>
    <row r="1724" spans="1:23">
      <c r="A1724" s="565">
        <v>2418</v>
      </c>
      <c r="B1724" s="696" t="s">
        <v>7130</v>
      </c>
      <c r="C1724" s="566">
        <f t="shared" si="26"/>
        <v>2418</v>
      </c>
      <c r="D1724" s="700" t="s">
        <v>2238</v>
      </c>
      <c r="E1724" s="701" t="s">
        <v>9599</v>
      </c>
      <c r="F1724" s="566">
        <v>1</v>
      </c>
      <c r="G1724" s="662">
        <v>23356.193241452362</v>
      </c>
      <c r="H1724" s="662">
        <v>0</v>
      </c>
      <c r="I1724" s="662">
        <v>0</v>
      </c>
      <c r="J1724" s="662">
        <v>0</v>
      </c>
      <c r="K1724" s="566" t="s">
        <v>5322</v>
      </c>
      <c r="L1724" s="549"/>
      <c r="M1724" s="540"/>
      <c r="O1724" s="540"/>
      <c r="S1724" s="550"/>
      <c r="T1724" s="547"/>
      <c r="U1724" s="547"/>
      <c r="V1724" s="547"/>
      <c r="W1724" s="549"/>
    </row>
    <row r="1725" spans="1:23">
      <c r="A1725" s="565">
        <v>2419</v>
      </c>
      <c r="B1725" s="696" t="s">
        <v>7131</v>
      </c>
      <c r="C1725" s="566">
        <f t="shared" si="26"/>
        <v>2419</v>
      </c>
      <c r="D1725" s="700" t="s">
        <v>2238</v>
      </c>
      <c r="E1725" s="701" t="s">
        <v>9600</v>
      </c>
      <c r="F1725" s="566">
        <v>2</v>
      </c>
      <c r="G1725" s="662">
        <v>14828.017828132206</v>
      </c>
      <c r="H1725" s="662">
        <v>15205.453099872791</v>
      </c>
      <c r="I1725" s="662">
        <v>15602.740857526063</v>
      </c>
      <c r="J1725" s="662">
        <v>16020.928474449533</v>
      </c>
      <c r="K1725" s="566" t="s">
        <v>2173</v>
      </c>
      <c r="L1725" s="549"/>
      <c r="M1725" s="540"/>
      <c r="O1725" s="540"/>
      <c r="S1725" s="550"/>
      <c r="T1725" s="547"/>
      <c r="U1725" s="547"/>
      <c r="V1725" s="547"/>
      <c r="W1725" s="549"/>
    </row>
    <row r="1726" spans="1:23">
      <c r="A1726" s="565">
        <v>2420</v>
      </c>
      <c r="B1726" s="696" t="s">
        <v>7132</v>
      </c>
      <c r="C1726" s="566">
        <f t="shared" si="26"/>
        <v>2420</v>
      </c>
      <c r="D1726" s="700" t="s">
        <v>2238</v>
      </c>
      <c r="E1726" s="701" t="s">
        <v>9601</v>
      </c>
      <c r="F1726" s="566">
        <v>2</v>
      </c>
      <c r="G1726" s="662">
        <v>19026.904394854366</v>
      </c>
      <c r="H1726" s="662">
        <v>19552.781036081211</v>
      </c>
      <c r="I1726" s="662">
        <v>20106.317855522149</v>
      </c>
      <c r="J1726" s="662">
        <v>20688.990697453653</v>
      </c>
      <c r="K1726" s="566" t="s">
        <v>2174</v>
      </c>
      <c r="L1726" s="549"/>
      <c r="M1726" s="540"/>
      <c r="O1726" s="540"/>
      <c r="S1726" s="550"/>
      <c r="T1726" s="547"/>
      <c r="U1726" s="547"/>
      <c r="V1726" s="547"/>
      <c r="W1726" s="549"/>
    </row>
    <row r="1727" spans="1:23">
      <c r="A1727" s="565">
        <v>2421</v>
      </c>
      <c r="B1727" s="695" t="s">
        <v>7133</v>
      </c>
      <c r="C1727" s="566">
        <f t="shared" si="26"/>
        <v>2421</v>
      </c>
      <c r="D1727" s="699" t="s">
        <v>2238</v>
      </c>
      <c r="E1727" s="701" t="s">
        <v>9602</v>
      </c>
      <c r="F1727" s="567">
        <v>2</v>
      </c>
      <c r="G1727" s="662">
        <v>17745.134329974841</v>
      </c>
      <c r="H1727" s="662">
        <v>18221.784423398996</v>
      </c>
      <c r="I1727" s="662">
        <v>18723.523869523364</v>
      </c>
      <c r="J1727" s="662">
        <v>19251.685688984762</v>
      </c>
      <c r="K1727" s="568" t="s">
        <v>2175</v>
      </c>
      <c r="L1727" s="549"/>
      <c r="M1727" s="540"/>
      <c r="O1727" s="540"/>
      <c r="S1727" s="550"/>
      <c r="T1727" s="547"/>
      <c r="U1727" s="547"/>
      <c r="V1727" s="547"/>
      <c r="W1727" s="549"/>
    </row>
    <row r="1728" spans="1:23">
      <c r="A1728" s="565">
        <v>2422</v>
      </c>
      <c r="B1728" s="695" t="s">
        <v>7134</v>
      </c>
      <c r="C1728" s="566">
        <f t="shared" si="26"/>
        <v>2422</v>
      </c>
      <c r="D1728" s="699" t="s">
        <v>2238</v>
      </c>
      <c r="E1728" s="701" t="s">
        <v>9603</v>
      </c>
      <c r="F1728" s="567">
        <v>2</v>
      </c>
      <c r="G1728" s="662">
        <v>20891.312973142933</v>
      </c>
      <c r="H1728" s="662">
        <v>21481.317428576971</v>
      </c>
      <c r="I1728" s="662">
        <v>22102.362221697033</v>
      </c>
      <c r="J1728" s="662">
        <v>22756.113628299161</v>
      </c>
      <c r="K1728" s="568" t="s">
        <v>2176</v>
      </c>
      <c r="L1728" s="549"/>
      <c r="M1728" s="540"/>
      <c r="O1728" s="540"/>
      <c r="S1728" s="550"/>
      <c r="T1728" s="547"/>
      <c r="U1728" s="547"/>
      <c r="V1728" s="547"/>
      <c r="W1728" s="549"/>
    </row>
    <row r="1729" spans="1:23">
      <c r="A1729" s="565">
        <v>2423</v>
      </c>
      <c r="B1729" s="696" t="s">
        <v>7135</v>
      </c>
      <c r="C1729" s="566">
        <f t="shared" si="26"/>
        <v>2423</v>
      </c>
      <c r="D1729" s="700" t="s">
        <v>2238</v>
      </c>
      <c r="E1729" s="701" t="s">
        <v>9604</v>
      </c>
      <c r="F1729" s="566">
        <v>2</v>
      </c>
      <c r="G1729" s="662">
        <v>19380.215827382635</v>
      </c>
      <c r="H1729" s="662">
        <v>19908.615686243469</v>
      </c>
      <c r="I1729" s="662">
        <v>20464.770939078164</v>
      </c>
      <c r="J1729" s="662">
        <v>21050.252645922974</v>
      </c>
      <c r="K1729" s="566" t="s">
        <v>2177</v>
      </c>
      <c r="L1729" s="549"/>
      <c r="M1729" s="540"/>
      <c r="O1729" s="540"/>
      <c r="S1729" s="550"/>
      <c r="T1729" s="547"/>
      <c r="U1729" s="547"/>
      <c r="V1729" s="547"/>
      <c r="W1729" s="549"/>
    </row>
    <row r="1730" spans="1:23">
      <c r="A1730" s="565">
        <v>2424</v>
      </c>
      <c r="B1730" s="696" t="s">
        <v>7136</v>
      </c>
      <c r="C1730" s="566">
        <f t="shared" si="26"/>
        <v>2424</v>
      </c>
      <c r="D1730" s="700" t="s">
        <v>2238</v>
      </c>
      <c r="E1730" s="701" t="s">
        <v>9605</v>
      </c>
      <c r="F1730" s="566">
        <v>2</v>
      </c>
      <c r="G1730" s="662">
        <v>19757.538780541683</v>
      </c>
      <c r="H1730" s="662">
        <v>20298.183887244919</v>
      </c>
      <c r="I1730" s="662">
        <v>20867.288483408753</v>
      </c>
      <c r="J1730" s="662">
        <v>21466.338436021237</v>
      </c>
      <c r="K1730" s="566" t="s">
        <v>2178</v>
      </c>
      <c r="L1730" s="549"/>
      <c r="M1730" s="540"/>
      <c r="O1730" s="540"/>
      <c r="S1730" s="550"/>
      <c r="T1730" s="547"/>
      <c r="U1730" s="547"/>
      <c r="V1730" s="547"/>
      <c r="W1730" s="549"/>
    </row>
    <row r="1731" spans="1:23">
      <c r="A1731" s="565">
        <v>2425</v>
      </c>
      <c r="B1731" s="696" t="s">
        <v>7137</v>
      </c>
      <c r="C1731" s="566">
        <f t="shared" si="26"/>
        <v>2425</v>
      </c>
      <c r="D1731" s="700" t="s">
        <v>2238</v>
      </c>
      <c r="E1731" s="701" t="s">
        <v>9606</v>
      </c>
      <c r="F1731" s="566">
        <v>2</v>
      </c>
      <c r="G1731" s="662">
        <v>19438.863569133868</v>
      </c>
      <c r="H1731" s="662">
        <v>19978.879750687025</v>
      </c>
      <c r="I1731" s="662">
        <v>20547.317836532449</v>
      </c>
      <c r="J1731" s="662">
        <v>21145.70127882652</v>
      </c>
      <c r="K1731" s="566" t="s">
        <v>2179</v>
      </c>
      <c r="L1731" s="549"/>
      <c r="M1731" s="540"/>
      <c r="O1731" s="540"/>
      <c r="S1731" s="550"/>
      <c r="T1731" s="547"/>
      <c r="U1731" s="547"/>
      <c r="V1731" s="547"/>
      <c r="W1731" s="549"/>
    </row>
    <row r="1732" spans="1:23">
      <c r="A1732" s="565">
        <v>2426</v>
      </c>
      <c r="B1732" s="696" t="s">
        <v>7138</v>
      </c>
      <c r="C1732" s="566">
        <f t="shared" si="26"/>
        <v>2426</v>
      </c>
      <c r="D1732" s="700" t="s">
        <v>2238</v>
      </c>
      <c r="E1732" s="701" t="s">
        <v>9607</v>
      </c>
      <c r="F1732" s="566">
        <v>2</v>
      </c>
      <c r="G1732" s="662">
        <v>18153.155597802128</v>
      </c>
      <c r="H1732" s="662">
        <v>18643.707192153157</v>
      </c>
      <c r="I1732" s="662">
        <v>19160.062257402693</v>
      </c>
      <c r="J1732" s="662">
        <v>19703.601422067451</v>
      </c>
      <c r="K1732" s="566" t="s">
        <v>2180</v>
      </c>
      <c r="L1732" s="549"/>
      <c r="M1732" s="540"/>
      <c r="O1732" s="540"/>
      <c r="S1732" s="550"/>
      <c r="T1732" s="547"/>
      <c r="U1732" s="547"/>
      <c r="V1732" s="547"/>
      <c r="W1732" s="549"/>
    </row>
    <row r="1733" spans="1:23">
      <c r="A1733" s="565">
        <v>2427</v>
      </c>
      <c r="B1733" s="695" t="s">
        <v>7139</v>
      </c>
      <c r="C1733" s="566">
        <f t="shared" si="26"/>
        <v>2427</v>
      </c>
      <c r="D1733" s="699" t="s">
        <v>2238</v>
      </c>
      <c r="E1733" s="701" t="s">
        <v>9608</v>
      </c>
      <c r="F1733" s="567">
        <v>2</v>
      </c>
      <c r="G1733" s="662">
        <v>18273.866031475543</v>
      </c>
      <c r="H1733" s="662">
        <v>18771.368376290004</v>
      </c>
      <c r="I1733" s="662">
        <v>19295.05505504207</v>
      </c>
      <c r="J1733" s="662">
        <v>19846.306696248452</v>
      </c>
      <c r="K1733" s="568" t="s">
        <v>2181</v>
      </c>
      <c r="L1733" s="549"/>
      <c r="M1733" s="540"/>
      <c r="O1733" s="540"/>
      <c r="S1733" s="550"/>
      <c r="T1733" s="547"/>
      <c r="U1733" s="547"/>
      <c r="V1733" s="547"/>
      <c r="W1733" s="549"/>
    </row>
    <row r="1734" spans="1:23">
      <c r="A1734" s="565">
        <v>2428</v>
      </c>
      <c r="B1734" s="695" t="s">
        <v>7140</v>
      </c>
      <c r="C1734" s="566">
        <f t="shared" si="26"/>
        <v>2428</v>
      </c>
      <c r="D1734" s="699" t="s">
        <v>2238</v>
      </c>
      <c r="E1734" s="701" t="s">
        <v>9609</v>
      </c>
      <c r="F1734" s="567">
        <v>2</v>
      </c>
      <c r="G1734" s="662">
        <v>17049.70701223391</v>
      </c>
      <c r="H1734" s="662">
        <v>17505.55246214764</v>
      </c>
      <c r="I1734" s="662">
        <v>17985.392283524194</v>
      </c>
      <c r="J1734" s="662">
        <v>18490.464281240616</v>
      </c>
      <c r="K1734" s="568" t="s">
        <v>2182</v>
      </c>
      <c r="L1734" s="549"/>
      <c r="M1734" s="540"/>
      <c r="O1734" s="540"/>
      <c r="S1734" s="550"/>
      <c r="T1734" s="547"/>
      <c r="U1734" s="547"/>
      <c r="V1734" s="547"/>
      <c r="W1734" s="549"/>
    </row>
    <row r="1735" spans="1:23">
      <c r="A1735" s="565">
        <v>2429</v>
      </c>
      <c r="B1735" s="696" t="s">
        <v>7141</v>
      </c>
      <c r="C1735" s="566">
        <f t="shared" si="26"/>
        <v>2429</v>
      </c>
      <c r="D1735" s="700" t="s">
        <v>2238</v>
      </c>
      <c r="E1735" s="701" t="s">
        <v>9610</v>
      </c>
      <c r="F1735" s="566">
        <v>2</v>
      </c>
      <c r="G1735" s="662">
        <v>17262.177497618944</v>
      </c>
      <c r="H1735" s="662">
        <v>17730.210564783632</v>
      </c>
      <c r="I1735" s="662">
        <v>18222.856905849669</v>
      </c>
      <c r="J1735" s="662">
        <v>18741.449541453876</v>
      </c>
      <c r="K1735" s="566" t="s">
        <v>2183</v>
      </c>
      <c r="L1735" s="549"/>
      <c r="M1735" s="540"/>
      <c r="O1735" s="540"/>
      <c r="S1735" s="550"/>
      <c r="T1735" s="547"/>
      <c r="U1735" s="547"/>
      <c r="V1735" s="547"/>
      <c r="W1735" s="549"/>
    </row>
    <row r="1736" spans="1:23">
      <c r="A1736" s="565">
        <v>2430</v>
      </c>
      <c r="B1736" s="696" t="s">
        <v>7142</v>
      </c>
      <c r="C1736" s="566">
        <f t="shared" si="26"/>
        <v>2430</v>
      </c>
      <c r="D1736" s="700" t="s">
        <v>2238</v>
      </c>
      <c r="E1736" s="701" t="s">
        <v>9611</v>
      </c>
      <c r="F1736" s="566">
        <v>2</v>
      </c>
      <c r="G1736" s="662">
        <v>15086.436078802428</v>
      </c>
      <c r="H1736" s="662">
        <v>15465.442410579264</v>
      </c>
      <c r="I1736" s="662">
        <v>15864.396444028564</v>
      </c>
      <c r="J1736" s="662">
        <v>16284.345552507837</v>
      </c>
      <c r="K1736" s="566" t="s">
        <v>2184</v>
      </c>
      <c r="L1736" s="549"/>
      <c r="M1736" s="540"/>
      <c r="O1736" s="540"/>
      <c r="S1736" s="550"/>
      <c r="T1736" s="547"/>
      <c r="U1736" s="547"/>
      <c r="V1736" s="547"/>
      <c r="W1736" s="549"/>
    </row>
    <row r="1737" spans="1:23">
      <c r="A1737" s="565">
        <v>2431</v>
      </c>
      <c r="B1737" s="696" t="s">
        <v>7143</v>
      </c>
      <c r="C1737" s="566">
        <f t="shared" ref="C1737:C1800" si="27">A1737</f>
        <v>2431</v>
      </c>
      <c r="D1737" s="700" t="s">
        <v>2238</v>
      </c>
      <c r="E1737" s="701" t="s">
        <v>9612</v>
      </c>
      <c r="F1737" s="566">
        <v>2</v>
      </c>
      <c r="G1737" s="662">
        <v>16631.463789164991</v>
      </c>
      <c r="H1737" s="662">
        <v>17073.074482992637</v>
      </c>
      <c r="I1737" s="662">
        <v>17537.91782220493</v>
      </c>
      <c r="J1737" s="662">
        <v>18027.231611678904</v>
      </c>
      <c r="K1737" s="566" t="s">
        <v>2185</v>
      </c>
      <c r="L1737" s="549"/>
      <c r="M1737" s="540"/>
      <c r="O1737" s="540"/>
      <c r="S1737" s="550"/>
      <c r="T1737" s="547"/>
      <c r="U1737" s="547"/>
      <c r="V1737" s="547"/>
      <c r="W1737" s="549"/>
    </row>
    <row r="1738" spans="1:23">
      <c r="A1738" s="565">
        <v>2432</v>
      </c>
      <c r="B1738" s="696" t="s">
        <v>7144</v>
      </c>
      <c r="C1738" s="566">
        <f t="shared" si="27"/>
        <v>2432</v>
      </c>
      <c r="D1738" s="700" t="s">
        <v>2238</v>
      </c>
      <c r="E1738" s="701" t="s">
        <v>9613</v>
      </c>
      <c r="F1738" s="566">
        <v>1</v>
      </c>
      <c r="G1738" s="662">
        <v>0</v>
      </c>
      <c r="H1738" s="662">
        <v>20092.011476501637</v>
      </c>
      <c r="I1738" s="662">
        <v>20556.376493813121</v>
      </c>
      <c r="J1738" s="662">
        <v>21045.201190007741</v>
      </c>
      <c r="K1738" s="566" t="s">
        <v>3189</v>
      </c>
      <c r="L1738" s="549"/>
      <c r="M1738" s="540"/>
      <c r="O1738" s="540"/>
      <c r="S1738" s="550"/>
      <c r="T1738" s="547"/>
      <c r="U1738" s="547"/>
      <c r="V1738" s="547"/>
      <c r="W1738" s="549"/>
    </row>
    <row r="1739" spans="1:23">
      <c r="A1739" s="565">
        <v>2433</v>
      </c>
      <c r="B1739" s="696" t="s">
        <v>7145</v>
      </c>
      <c r="C1739" s="566">
        <f t="shared" si="27"/>
        <v>2433</v>
      </c>
      <c r="D1739" s="700" t="s">
        <v>2238</v>
      </c>
      <c r="E1739" s="701" t="s">
        <v>9614</v>
      </c>
      <c r="F1739" s="566">
        <v>1</v>
      </c>
      <c r="G1739" s="662">
        <v>0</v>
      </c>
      <c r="H1739" s="662">
        <v>21715.345548819441</v>
      </c>
      <c r="I1739" s="662">
        <v>22222.075183964476</v>
      </c>
      <c r="J1739" s="662">
        <v>22755.449411303558</v>
      </c>
      <c r="K1739" s="566" t="s">
        <v>3190</v>
      </c>
      <c r="L1739" s="549"/>
      <c r="M1739" s="540"/>
      <c r="O1739" s="540"/>
      <c r="S1739" s="550"/>
      <c r="T1739" s="547"/>
      <c r="U1739" s="547"/>
      <c r="V1739" s="547"/>
      <c r="W1739" s="549"/>
    </row>
    <row r="1740" spans="1:23">
      <c r="A1740" s="565">
        <v>2434</v>
      </c>
      <c r="B1740" s="696" t="s">
        <v>7146</v>
      </c>
      <c r="C1740" s="566">
        <f t="shared" si="27"/>
        <v>2434</v>
      </c>
      <c r="D1740" s="700" t="s">
        <v>2238</v>
      </c>
      <c r="E1740" s="701" t="s">
        <v>9615</v>
      </c>
      <c r="F1740" s="566">
        <v>1</v>
      </c>
      <c r="G1740" s="662">
        <v>16384.271916446651</v>
      </c>
      <c r="H1740" s="662">
        <v>0</v>
      </c>
      <c r="I1740" s="662">
        <v>0</v>
      </c>
      <c r="J1740" s="662">
        <v>0</v>
      </c>
      <c r="K1740" s="566" t="s">
        <v>5323</v>
      </c>
      <c r="L1740" s="549"/>
      <c r="M1740" s="540"/>
      <c r="O1740" s="540"/>
      <c r="S1740" s="550"/>
      <c r="T1740" s="547"/>
      <c r="U1740" s="547"/>
      <c r="V1740" s="547"/>
      <c r="W1740" s="549"/>
    </row>
    <row r="1741" spans="1:23">
      <c r="A1741" s="565">
        <v>2435</v>
      </c>
      <c r="B1741" s="695" t="s">
        <v>7147</v>
      </c>
      <c r="C1741" s="566">
        <f t="shared" si="27"/>
        <v>2435</v>
      </c>
      <c r="D1741" s="699" t="s">
        <v>2238</v>
      </c>
      <c r="E1741" s="701" t="s">
        <v>9616</v>
      </c>
      <c r="F1741" s="567">
        <v>1</v>
      </c>
      <c r="G1741" s="662">
        <v>0</v>
      </c>
      <c r="H1741" s="662">
        <v>18783.037335648543</v>
      </c>
      <c r="I1741" s="662">
        <v>19213.266629414309</v>
      </c>
      <c r="J1741" s="662">
        <v>19666.139570220381</v>
      </c>
      <c r="K1741" s="568" t="s">
        <v>3191</v>
      </c>
      <c r="L1741" s="549"/>
      <c r="M1741" s="540"/>
      <c r="O1741" s="540"/>
      <c r="S1741" s="550"/>
      <c r="T1741" s="547"/>
      <c r="U1741" s="547"/>
      <c r="V1741" s="547"/>
      <c r="W1741" s="549"/>
    </row>
    <row r="1742" spans="1:23">
      <c r="A1742" s="565">
        <v>2436</v>
      </c>
      <c r="B1742" s="695" t="s">
        <v>7148</v>
      </c>
      <c r="C1742" s="566">
        <f t="shared" si="27"/>
        <v>2436</v>
      </c>
      <c r="D1742" s="699" t="s">
        <v>2238</v>
      </c>
      <c r="E1742" s="701" t="s">
        <v>9617</v>
      </c>
      <c r="F1742" s="567">
        <v>1</v>
      </c>
      <c r="G1742" s="662">
        <v>17543.72407055449</v>
      </c>
      <c r="H1742" s="662">
        <v>0</v>
      </c>
      <c r="I1742" s="662">
        <v>0</v>
      </c>
      <c r="J1742" s="662">
        <v>0</v>
      </c>
      <c r="K1742" s="568" t="s">
        <v>5324</v>
      </c>
      <c r="L1742" s="549"/>
      <c r="M1742" s="540"/>
      <c r="O1742" s="540"/>
      <c r="S1742" s="550"/>
      <c r="T1742" s="547"/>
      <c r="U1742" s="547"/>
      <c r="V1742" s="547"/>
      <c r="W1742" s="549"/>
    </row>
    <row r="1743" spans="1:23">
      <c r="A1743" s="565">
        <v>2437</v>
      </c>
      <c r="B1743" s="696" t="s">
        <v>7149</v>
      </c>
      <c r="C1743" s="566">
        <f t="shared" si="27"/>
        <v>2437</v>
      </c>
      <c r="D1743" s="700" t="s">
        <v>2238</v>
      </c>
      <c r="E1743" s="701" t="s">
        <v>9618</v>
      </c>
      <c r="F1743" s="566">
        <v>1</v>
      </c>
      <c r="G1743" s="662">
        <v>18404.036480694383</v>
      </c>
      <c r="H1743" s="662">
        <v>0</v>
      </c>
      <c r="I1743" s="662">
        <v>0</v>
      </c>
      <c r="J1743" s="662">
        <v>0</v>
      </c>
      <c r="K1743" s="566" t="s">
        <v>5325</v>
      </c>
      <c r="L1743" s="549"/>
      <c r="M1743" s="540"/>
      <c r="O1743" s="540"/>
      <c r="S1743" s="550"/>
      <c r="T1743" s="547"/>
      <c r="U1743" s="547"/>
      <c r="V1743" s="547"/>
      <c r="W1743" s="549"/>
    </row>
    <row r="1744" spans="1:23">
      <c r="A1744" s="565">
        <v>2438</v>
      </c>
      <c r="B1744" s="696" t="s">
        <v>7150</v>
      </c>
      <c r="C1744" s="566">
        <f t="shared" si="27"/>
        <v>2438</v>
      </c>
      <c r="D1744" s="700" t="s">
        <v>2238</v>
      </c>
      <c r="E1744" s="701" t="s">
        <v>9619</v>
      </c>
      <c r="F1744" s="566">
        <v>1</v>
      </c>
      <c r="G1744" s="662">
        <v>19554.857993854323</v>
      </c>
      <c r="H1744" s="662">
        <v>0</v>
      </c>
      <c r="I1744" s="662">
        <v>0</v>
      </c>
      <c r="J1744" s="662">
        <v>0</v>
      </c>
      <c r="K1744" s="566" t="s">
        <v>5326</v>
      </c>
      <c r="L1744" s="549"/>
      <c r="M1744" s="540"/>
      <c r="O1744" s="540"/>
      <c r="S1744" s="550"/>
      <c r="T1744" s="547"/>
      <c r="U1744" s="547"/>
      <c r="V1744" s="547"/>
      <c r="W1744" s="549"/>
    </row>
    <row r="1745" spans="1:23">
      <c r="A1745" s="565">
        <v>2439</v>
      </c>
      <c r="B1745" s="695" t="s">
        <v>7151</v>
      </c>
      <c r="C1745" s="566">
        <f t="shared" si="27"/>
        <v>2439</v>
      </c>
      <c r="D1745" s="699" t="s">
        <v>2238</v>
      </c>
      <c r="E1745" s="701" t="s">
        <v>9620</v>
      </c>
      <c r="F1745" s="567">
        <v>1</v>
      </c>
      <c r="G1745" s="662">
        <v>0</v>
      </c>
      <c r="H1745" s="662">
        <v>0</v>
      </c>
      <c r="I1745" s="662">
        <v>17684.124260219203</v>
      </c>
      <c r="J1745" s="662">
        <v>18207.424008503476</v>
      </c>
      <c r="K1745" s="568" t="s">
        <v>4134</v>
      </c>
      <c r="L1745" s="549"/>
      <c r="M1745" s="540"/>
      <c r="O1745" s="540"/>
      <c r="S1745" s="550"/>
      <c r="T1745" s="547"/>
      <c r="U1745" s="547"/>
      <c r="V1745" s="547"/>
      <c r="W1745" s="549"/>
    </row>
    <row r="1746" spans="1:23">
      <c r="A1746" s="565">
        <v>2440</v>
      </c>
      <c r="B1746" s="695" t="s">
        <v>7152</v>
      </c>
      <c r="C1746" s="566">
        <f t="shared" si="27"/>
        <v>2440</v>
      </c>
      <c r="D1746" s="699" t="s">
        <v>2238</v>
      </c>
      <c r="E1746" s="701" t="s">
        <v>9621</v>
      </c>
      <c r="F1746" s="567">
        <v>1</v>
      </c>
      <c r="G1746" s="662">
        <v>0</v>
      </c>
      <c r="H1746" s="662">
        <v>0</v>
      </c>
      <c r="I1746" s="662">
        <v>16788.216672413517</v>
      </c>
      <c r="J1746" s="662">
        <v>17281.060056154303</v>
      </c>
      <c r="K1746" s="568" t="s">
        <v>4135</v>
      </c>
      <c r="L1746" s="549"/>
      <c r="M1746" s="540"/>
      <c r="O1746" s="540"/>
      <c r="S1746" s="550"/>
      <c r="T1746" s="547"/>
      <c r="U1746" s="547"/>
      <c r="V1746" s="547"/>
      <c r="W1746" s="549"/>
    </row>
    <row r="1747" spans="1:23">
      <c r="A1747" s="565">
        <v>2441</v>
      </c>
      <c r="B1747" s="695" t="s">
        <v>7153</v>
      </c>
      <c r="C1747" s="566">
        <f t="shared" si="27"/>
        <v>2441</v>
      </c>
      <c r="D1747" s="699" t="s">
        <v>2238</v>
      </c>
      <c r="E1747" s="701" t="s">
        <v>9622</v>
      </c>
      <c r="F1747" s="567">
        <v>1</v>
      </c>
      <c r="G1747" s="662">
        <v>14322.971247396352</v>
      </c>
      <c r="H1747" s="662">
        <v>14761.197104037326</v>
      </c>
      <c r="I1747" s="662">
        <v>0</v>
      </c>
      <c r="J1747" s="662">
        <v>0</v>
      </c>
      <c r="K1747" s="568" t="s">
        <v>1299</v>
      </c>
      <c r="L1747" s="549"/>
      <c r="M1747" s="540"/>
      <c r="O1747" s="540"/>
      <c r="S1747" s="550"/>
      <c r="T1747" s="547"/>
      <c r="U1747" s="547"/>
      <c r="V1747" s="547"/>
      <c r="W1747" s="549"/>
    </row>
    <row r="1748" spans="1:23">
      <c r="A1748" s="565">
        <v>2442</v>
      </c>
      <c r="B1748" s="695" t="s">
        <v>7154</v>
      </c>
      <c r="C1748" s="566">
        <f t="shared" si="27"/>
        <v>2442</v>
      </c>
      <c r="D1748" s="699" t="s">
        <v>2238</v>
      </c>
      <c r="E1748" s="701" t="s">
        <v>9623</v>
      </c>
      <c r="F1748" s="567">
        <v>1</v>
      </c>
      <c r="G1748" s="662">
        <v>15246.073572117892</v>
      </c>
      <c r="H1748" s="662">
        <v>15717.903394295927</v>
      </c>
      <c r="I1748" s="662">
        <v>0</v>
      </c>
      <c r="J1748" s="662">
        <v>0</v>
      </c>
      <c r="K1748" s="568" t="s">
        <v>1300</v>
      </c>
      <c r="L1748" s="549"/>
      <c r="M1748" s="540"/>
      <c r="O1748" s="540"/>
      <c r="S1748" s="550"/>
      <c r="T1748" s="547"/>
      <c r="U1748" s="547"/>
      <c r="V1748" s="547"/>
      <c r="W1748" s="549"/>
    </row>
    <row r="1749" spans="1:23">
      <c r="A1749" s="565">
        <v>2443</v>
      </c>
      <c r="B1749" s="696" t="s">
        <v>7155</v>
      </c>
      <c r="C1749" s="566">
        <f t="shared" si="27"/>
        <v>2443</v>
      </c>
      <c r="D1749" s="700" t="s">
        <v>2238</v>
      </c>
      <c r="E1749" s="701" t="s">
        <v>9624</v>
      </c>
      <c r="F1749" s="566">
        <v>1</v>
      </c>
      <c r="G1749" s="662">
        <v>18221.668812902619</v>
      </c>
      <c r="H1749" s="662">
        <v>18793.335218707918</v>
      </c>
      <c r="I1749" s="662">
        <v>0</v>
      </c>
      <c r="J1749" s="662">
        <v>0</v>
      </c>
      <c r="K1749" s="566" t="s">
        <v>1301</v>
      </c>
      <c r="L1749" s="549"/>
      <c r="M1749" s="540"/>
      <c r="O1749" s="540"/>
      <c r="S1749" s="550"/>
      <c r="T1749" s="547"/>
      <c r="U1749" s="547"/>
      <c r="V1749" s="547"/>
      <c r="W1749" s="549"/>
    </row>
    <row r="1750" spans="1:23">
      <c r="A1750" s="565">
        <v>2444</v>
      </c>
      <c r="B1750" s="696" t="s">
        <v>7156</v>
      </c>
      <c r="C1750" s="566">
        <f t="shared" si="27"/>
        <v>2444</v>
      </c>
      <c r="D1750" s="700" t="s">
        <v>2238</v>
      </c>
      <c r="E1750" s="701" t="s">
        <v>9625</v>
      </c>
      <c r="F1750" s="566">
        <v>1</v>
      </c>
      <c r="G1750" s="662">
        <v>15423.593249948959</v>
      </c>
      <c r="H1750" s="662">
        <v>15901.895603747589</v>
      </c>
      <c r="I1750" s="662">
        <v>0</v>
      </c>
      <c r="J1750" s="662">
        <v>0</v>
      </c>
      <c r="K1750" s="566" t="s">
        <v>1302</v>
      </c>
      <c r="L1750" s="549"/>
      <c r="M1750" s="540"/>
      <c r="O1750" s="540"/>
      <c r="S1750" s="550"/>
      <c r="T1750" s="547"/>
      <c r="U1750" s="547"/>
      <c r="V1750" s="547"/>
      <c r="W1750" s="549"/>
    </row>
    <row r="1751" spans="1:23">
      <c r="A1751" s="565">
        <v>2445</v>
      </c>
      <c r="B1751" s="696" t="s">
        <v>7157</v>
      </c>
      <c r="C1751" s="566">
        <f t="shared" si="27"/>
        <v>2445</v>
      </c>
      <c r="D1751" s="700" t="s">
        <v>2238</v>
      </c>
      <c r="E1751" s="701" t="s">
        <v>9626</v>
      </c>
      <c r="F1751" s="566">
        <v>1</v>
      </c>
      <c r="G1751" s="662">
        <v>16346.73990707886</v>
      </c>
      <c r="H1751" s="662">
        <v>16858.646226414552</v>
      </c>
      <c r="I1751" s="662">
        <v>0</v>
      </c>
      <c r="J1751" s="662">
        <v>0</v>
      </c>
      <c r="K1751" s="566" t="s">
        <v>1303</v>
      </c>
      <c r="L1751" s="549"/>
      <c r="M1751" s="540"/>
      <c r="O1751" s="540"/>
      <c r="S1751" s="550"/>
      <c r="T1751" s="547"/>
      <c r="U1751" s="547"/>
      <c r="V1751" s="547"/>
      <c r="W1751" s="549"/>
    </row>
    <row r="1752" spans="1:23">
      <c r="A1752" s="565">
        <v>2446</v>
      </c>
      <c r="B1752" s="696" t="s">
        <v>7158</v>
      </c>
      <c r="C1752" s="566">
        <f t="shared" si="27"/>
        <v>2446</v>
      </c>
      <c r="D1752" s="700" t="s">
        <v>2238</v>
      </c>
      <c r="E1752" s="701" t="s">
        <v>9627</v>
      </c>
      <c r="F1752" s="566">
        <v>1</v>
      </c>
      <c r="G1752" s="662">
        <v>0</v>
      </c>
      <c r="H1752" s="662">
        <v>0</v>
      </c>
      <c r="I1752" s="662">
        <v>18963.109575224578</v>
      </c>
      <c r="J1752" s="662">
        <v>19529.899416110238</v>
      </c>
      <c r="K1752" s="566" t="s">
        <v>4136</v>
      </c>
      <c r="L1752" s="549"/>
      <c r="M1752" s="540"/>
      <c r="O1752" s="540"/>
      <c r="S1752" s="550"/>
      <c r="T1752" s="547"/>
      <c r="U1752" s="547"/>
      <c r="V1752" s="547"/>
      <c r="W1752" s="549"/>
    </row>
    <row r="1753" spans="1:23">
      <c r="A1753" s="565">
        <v>2447</v>
      </c>
      <c r="B1753" s="696" t="s">
        <v>7159</v>
      </c>
      <c r="C1753" s="566">
        <f t="shared" si="27"/>
        <v>2447</v>
      </c>
      <c r="D1753" s="700" t="s">
        <v>2238</v>
      </c>
      <c r="E1753" s="701" t="s">
        <v>9628</v>
      </c>
      <c r="F1753" s="566">
        <v>1</v>
      </c>
      <c r="G1753" s="662">
        <v>0</v>
      </c>
      <c r="H1753" s="662">
        <v>0</v>
      </c>
      <c r="I1753" s="662">
        <v>20025.841334552708</v>
      </c>
      <c r="J1753" s="662">
        <v>20628.717755843609</v>
      </c>
      <c r="K1753" s="566" t="s">
        <v>4137</v>
      </c>
      <c r="L1753" s="549"/>
      <c r="M1753" s="540"/>
      <c r="O1753" s="540"/>
      <c r="S1753" s="550"/>
      <c r="T1753" s="547"/>
      <c r="U1753" s="547"/>
      <c r="V1753" s="547"/>
      <c r="W1753" s="549"/>
    </row>
    <row r="1754" spans="1:23">
      <c r="A1754" s="565">
        <v>2448</v>
      </c>
      <c r="B1754" s="696" t="s">
        <v>7160</v>
      </c>
      <c r="C1754" s="566">
        <f t="shared" si="27"/>
        <v>2448</v>
      </c>
      <c r="D1754" s="700" t="s">
        <v>2238</v>
      </c>
      <c r="E1754" s="701" t="s">
        <v>9629</v>
      </c>
      <c r="F1754" s="566">
        <v>1</v>
      </c>
      <c r="G1754" s="662">
        <v>0</v>
      </c>
      <c r="H1754" s="662">
        <v>0</v>
      </c>
      <c r="I1754" s="662">
        <v>16584.32046277498</v>
      </c>
      <c r="J1754" s="662">
        <v>17070.247990811571</v>
      </c>
      <c r="K1754" s="566" t="s">
        <v>4138</v>
      </c>
      <c r="L1754" s="549"/>
      <c r="M1754" s="540"/>
      <c r="O1754" s="540"/>
      <c r="S1754" s="550"/>
      <c r="T1754" s="547"/>
      <c r="U1754" s="547"/>
      <c r="V1754" s="547"/>
      <c r="W1754" s="549"/>
    </row>
    <row r="1755" spans="1:23">
      <c r="A1755" s="565">
        <v>2449</v>
      </c>
      <c r="B1755" s="696" t="s">
        <v>7161</v>
      </c>
      <c r="C1755" s="566">
        <f t="shared" si="27"/>
        <v>2449</v>
      </c>
      <c r="D1755" s="700" t="s">
        <v>2238</v>
      </c>
      <c r="E1755" s="701" t="s">
        <v>9630</v>
      </c>
      <c r="F1755" s="566">
        <v>1</v>
      </c>
      <c r="G1755" s="662">
        <v>0</v>
      </c>
      <c r="H1755" s="662">
        <v>0</v>
      </c>
      <c r="I1755" s="662">
        <v>15873.773065549776</v>
      </c>
      <c r="J1755" s="662">
        <v>16335.539431030038</v>
      </c>
      <c r="K1755" s="566" t="s">
        <v>4139</v>
      </c>
      <c r="L1755" s="549"/>
      <c r="M1755" s="540"/>
      <c r="O1755" s="540"/>
      <c r="S1755" s="550"/>
      <c r="T1755" s="547"/>
      <c r="U1755" s="547"/>
      <c r="V1755" s="547"/>
      <c r="W1755" s="549"/>
    </row>
    <row r="1756" spans="1:23">
      <c r="A1756" s="565">
        <v>2450</v>
      </c>
      <c r="B1756" s="696" t="s">
        <v>7162</v>
      </c>
      <c r="C1756" s="566">
        <f t="shared" si="27"/>
        <v>2450</v>
      </c>
      <c r="D1756" s="700" t="s">
        <v>2238</v>
      </c>
      <c r="E1756" s="701" t="s">
        <v>9631</v>
      </c>
      <c r="F1756" s="566">
        <v>1</v>
      </c>
      <c r="G1756" s="662">
        <v>20001.032363727241</v>
      </c>
      <c r="H1756" s="662">
        <v>20635.69512181243</v>
      </c>
      <c r="I1756" s="662">
        <v>0</v>
      </c>
      <c r="J1756" s="662">
        <v>0</v>
      </c>
      <c r="K1756" s="566" t="s">
        <v>1304</v>
      </c>
      <c r="L1756" s="549"/>
      <c r="M1756" s="540"/>
      <c r="O1756" s="540"/>
      <c r="S1756" s="550"/>
      <c r="T1756" s="547"/>
      <c r="U1756" s="547"/>
      <c r="V1756" s="547"/>
      <c r="W1756" s="549"/>
    </row>
    <row r="1757" spans="1:23">
      <c r="A1757" s="565">
        <v>2451</v>
      </c>
      <c r="B1757" s="696" t="s">
        <v>7163</v>
      </c>
      <c r="C1757" s="566">
        <f t="shared" si="27"/>
        <v>2451</v>
      </c>
      <c r="D1757" s="700" t="s">
        <v>2238</v>
      </c>
      <c r="E1757" s="701" t="s">
        <v>9632</v>
      </c>
      <c r="F1757" s="566">
        <v>1</v>
      </c>
      <c r="G1757" s="662">
        <v>16522.53373258148</v>
      </c>
      <c r="H1757" s="662">
        <v>17033.243076891449</v>
      </c>
      <c r="I1757" s="662">
        <v>17543.952421201411</v>
      </c>
      <c r="J1757" s="662">
        <v>18081.527204977676</v>
      </c>
      <c r="K1757" s="566" t="s">
        <v>1305</v>
      </c>
      <c r="L1757" s="549"/>
      <c r="M1757" s="540"/>
      <c r="O1757" s="540"/>
      <c r="S1757" s="550"/>
      <c r="T1757" s="547"/>
      <c r="U1757" s="547"/>
      <c r="V1757" s="547"/>
      <c r="W1757" s="549"/>
    </row>
    <row r="1758" spans="1:23">
      <c r="A1758" s="565">
        <v>2452</v>
      </c>
      <c r="B1758" s="696" t="s">
        <v>7164</v>
      </c>
      <c r="C1758" s="566">
        <f t="shared" si="27"/>
        <v>2452</v>
      </c>
      <c r="D1758" s="700" t="s">
        <v>2238</v>
      </c>
      <c r="E1758" s="701" t="s">
        <v>9633</v>
      </c>
      <c r="F1758" s="566">
        <v>1</v>
      </c>
      <c r="G1758" s="662">
        <v>15873.773065549776</v>
      </c>
      <c r="H1758" s="662">
        <v>16361.20789547061</v>
      </c>
      <c r="I1758" s="662">
        <v>0</v>
      </c>
      <c r="J1758" s="662">
        <v>0</v>
      </c>
      <c r="K1758" s="566" t="s">
        <v>1306</v>
      </c>
      <c r="L1758" s="549"/>
      <c r="M1758" s="540"/>
      <c r="O1758" s="540"/>
      <c r="S1758" s="550"/>
      <c r="T1758" s="547"/>
      <c r="U1758" s="547"/>
      <c r="V1758" s="547"/>
      <c r="W1758" s="549"/>
    </row>
    <row r="1759" spans="1:23">
      <c r="A1759" s="565">
        <v>2453</v>
      </c>
      <c r="B1759" s="696" t="s">
        <v>7165</v>
      </c>
      <c r="C1759" s="566">
        <f t="shared" si="27"/>
        <v>2453</v>
      </c>
      <c r="D1759" s="700" t="s">
        <v>2238</v>
      </c>
      <c r="E1759" s="701" t="s">
        <v>9634</v>
      </c>
      <c r="F1759" s="566">
        <v>1</v>
      </c>
      <c r="G1759" s="662">
        <v>0</v>
      </c>
      <c r="H1759" s="662">
        <v>0</v>
      </c>
      <c r="I1759" s="662">
        <v>18345.242273289608</v>
      </c>
      <c r="J1759" s="662">
        <v>18891.018552612528</v>
      </c>
      <c r="K1759" s="566" t="s">
        <v>4140</v>
      </c>
      <c r="L1759" s="549"/>
      <c r="M1759" s="540"/>
      <c r="O1759" s="540"/>
      <c r="S1759" s="550"/>
      <c r="T1759" s="547"/>
      <c r="U1759" s="547"/>
      <c r="V1759" s="547"/>
      <c r="W1759" s="549"/>
    </row>
    <row r="1760" spans="1:23">
      <c r="A1760" s="565">
        <v>2454</v>
      </c>
      <c r="B1760" s="696" t="s">
        <v>7166</v>
      </c>
      <c r="C1760" s="566">
        <f t="shared" si="27"/>
        <v>2454</v>
      </c>
      <c r="D1760" s="700" t="s">
        <v>2238</v>
      </c>
      <c r="E1760" s="701" t="s">
        <v>9635</v>
      </c>
      <c r="F1760" s="566">
        <v>1</v>
      </c>
      <c r="G1760" s="662">
        <v>0</v>
      </c>
      <c r="H1760" s="662">
        <v>0</v>
      </c>
      <c r="I1760" s="662">
        <v>19401.7953595984</v>
      </c>
      <c r="J1760" s="662">
        <v>19983.480889693106</v>
      </c>
      <c r="K1760" s="566" t="s">
        <v>4141</v>
      </c>
      <c r="L1760" s="549"/>
      <c r="M1760" s="540"/>
      <c r="O1760" s="540"/>
      <c r="S1760" s="550"/>
      <c r="T1760" s="547"/>
      <c r="U1760" s="547"/>
      <c r="V1760" s="547"/>
      <c r="W1760" s="549"/>
    </row>
    <row r="1761" spans="1:23">
      <c r="A1761" s="565">
        <v>2455</v>
      </c>
      <c r="B1761" s="696" t="s">
        <v>7167</v>
      </c>
      <c r="C1761" s="566">
        <f t="shared" si="27"/>
        <v>2455</v>
      </c>
      <c r="D1761" s="700" t="s">
        <v>2238</v>
      </c>
      <c r="E1761" s="701" t="s">
        <v>9636</v>
      </c>
      <c r="F1761" s="566">
        <v>1</v>
      </c>
      <c r="G1761" s="662">
        <v>12668.816162030462</v>
      </c>
      <c r="H1761" s="662">
        <v>13002.563910552435</v>
      </c>
      <c r="I1761" s="662">
        <v>13353.846373915811</v>
      </c>
      <c r="J1761" s="662">
        <v>13723.656083149321</v>
      </c>
      <c r="K1761" s="566" t="s">
        <v>1307</v>
      </c>
      <c r="L1761" s="549"/>
      <c r="M1761" s="540"/>
      <c r="O1761" s="540"/>
      <c r="S1761" s="550"/>
      <c r="T1761" s="547"/>
      <c r="U1761" s="547"/>
      <c r="V1761" s="547"/>
      <c r="W1761" s="549"/>
    </row>
    <row r="1762" spans="1:23">
      <c r="A1762" s="565">
        <v>2456</v>
      </c>
      <c r="B1762" s="696" t="s">
        <v>7168</v>
      </c>
      <c r="C1762" s="566">
        <f t="shared" si="27"/>
        <v>2456</v>
      </c>
      <c r="D1762" s="700" t="s">
        <v>2238</v>
      </c>
      <c r="E1762" s="701" t="s">
        <v>9637</v>
      </c>
      <c r="F1762" s="566">
        <v>1</v>
      </c>
      <c r="G1762" s="662">
        <v>12066.964274144644</v>
      </c>
      <c r="H1762" s="662">
        <v>12381.376047810079</v>
      </c>
      <c r="I1762" s="662">
        <v>12712.293244879662</v>
      </c>
      <c r="J1762" s="662">
        <v>13060.6716359737</v>
      </c>
      <c r="K1762" s="566" t="s">
        <v>1308</v>
      </c>
      <c r="L1762" s="549"/>
      <c r="M1762" s="540"/>
      <c r="O1762" s="540"/>
      <c r="S1762" s="550"/>
      <c r="T1762" s="547"/>
      <c r="U1762" s="547"/>
      <c r="V1762" s="547"/>
      <c r="W1762" s="549"/>
    </row>
    <row r="1763" spans="1:23">
      <c r="A1763" s="565">
        <v>2457</v>
      </c>
      <c r="B1763" s="696" t="s">
        <v>7169</v>
      </c>
      <c r="C1763" s="566">
        <f t="shared" si="27"/>
        <v>2457</v>
      </c>
      <c r="D1763" s="700" t="s">
        <v>2238</v>
      </c>
      <c r="E1763" s="701" t="s">
        <v>9638</v>
      </c>
      <c r="F1763" s="566">
        <v>1</v>
      </c>
      <c r="G1763" s="662">
        <v>13812.334749013527</v>
      </c>
      <c r="H1763" s="662">
        <v>14182.842906008023</v>
      </c>
      <c r="I1763" s="662">
        <v>0</v>
      </c>
      <c r="J1763" s="662">
        <v>0</v>
      </c>
      <c r="K1763" s="566" t="s">
        <v>1309</v>
      </c>
      <c r="L1763" s="549"/>
      <c r="M1763" s="540"/>
      <c r="O1763" s="540"/>
      <c r="S1763" s="550"/>
      <c r="T1763" s="547"/>
      <c r="U1763" s="547"/>
      <c r="V1763" s="547"/>
      <c r="W1763" s="549"/>
    </row>
    <row r="1764" spans="1:23">
      <c r="A1764" s="565">
        <v>2458</v>
      </c>
      <c r="B1764" s="696" t="s">
        <v>7170</v>
      </c>
      <c r="C1764" s="566">
        <f t="shared" si="27"/>
        <v>2458</v>
      </c>
      <c r="D1764" s="700" t="s">
        <v>2238</v>
      </c>
      <c r="E1764" s="701" t="s">
        <v>9639</v>
      </c>
      <c r="F1764" s="566">
        <v>1</v>
      </c>
      <c r="G1764" s="662">
        <v>13210.482861127706</v>
      </c>
      <c r="H1764" s="662">
        <v>13561.655043265655</v>
      </c>
      <c r="I1764" s="662">
        <v>0</v>
      </c>
      <c r="J1764" s="662">
        <v>0</v>
      </c>
      <c r="K1764" s="566" t="s">
        <v>1310</v>
      </c>
      <c r="L1764" s="549"/>
      <c r="M1764" s="540"/>
      <c r="O1764" s="540"/>
      <c r="S1764" s="550"/>
      <c r="T1764" s="547"/>
      <c r="U1764" s="547"/>
      <c r="V1764" s="547"/>
      <c r="W1764" s="549"/>
    </row>
    <row r="1765" spans="1:23">
      <c r="A1765" s="565">
        <v>2459</v>
      </c>
      <c r="B1765" s="696" t="s">
        <v>7171</v>
      </c>
      <c r="C1765" s="566">
        <f t="shared" si="27"/>
        <v>2459</v>
      </c>
      <c r="D1765" s="700" t="s">
        <v>2238</v>
      </c>
      <c r="E1765" s="701" t="s">
        <v>9640</v>
      </c>
      <c r="F1765" s="566">
        <v>1</v>
      </c>
      <c r="G1765" s="662">
        <v>0</v>
      </c>
      <c r="H1765" s="662">
        <v>0</v>
      </c>
      <c r="I1765" s="662">
        <v>12995.354630882179</v>
      </c>
      <c r="J1765" s="662">
        <v>13325.316057331489</v>
      </c>
      <c r="K1765" s="566" t="s">
        <v>4142</v>
      </c>
      <c r="L1765" s="549"/>
      <c r="M1765" s="540"/>
      <c r="O1765" s="540"/>
      <c r="S1765" s="550"/>
      <c r="T1765" s="547"/>
      <c r="U1765" s="547"/>
      <c r="V1765" s="547"/>
      <c r="W1765" s="549"/>
    </row>
    <row r="1766" spans="1:23">
      <c r="A1766" s="565">
        <v>2460</v>
      </c>
      <c r="B1766" s="696" t="s">
        <v>7172</v>
      </c>
      <c r="C1766" s="566">
        <f t="shared" si="27"/>
        <v>2460</v>
      </c>
      <c r="D1766" s="700" t="s">
        <v>2238</v>
      </c>
      <c r="E1766" s="701" t="s">
        <v>9641</v>
      </c>
      <c r="F1766" s="566">
        <v>1</v>
      </c>
      <c r="G1766" s="662">
        <v>0</v>
      </c>
      <c r="H1766" s="662">
        <v>0</v>
      </c>
      <c r="I1766" s="662">
        <v>12204.226559703551</v>
      </c>
      <c r="J1766" s="662">
        <v>12509.815835335579</v>
      </c>
      <c r="K1766" s="566" t="s">
        <v>4143</v>
      </c>
      <c r="L1766" s="549"/>
      <c r="M1766" s="540"/>
      <c r="O1766" s="540"/>
      <c r="S1766" s="550"/>
      <c r="T1766" s="547"/>
      <c r="U1766" s="547"/>
      <c r="V1766" s="547"/>
      <c r="W1766" s="549"/>
    </row>
    <row r="1767" spans="1:23">
      <c r="A1767" s="565">
        <v>2461</v>
      </c>
      <c r="B1767" s="696" t="s">
        <v>7173</v>
      </c>
      <c r="C1767" s="566">
        <f t="shared" si="27"/>
        <v>2461</v>
      </c>
      <c r="D1767" s="700" t="s">
        <v>2238</v>
      </c>
      <c r="E1767" s="701" t="s">
        <v>9642</v>
      </c>
      <c r="F1767" s="566">
        <v>1</v>
      </c>
      <c r="G1767" s="662">
        <v>11424.037661952201</v>
      </c>
      <c r="H1767" s="662">
        <v>0</v>
      </c>
      <c r="I1767" s="662">
        <v>0</v>
      </c>
      <c r="J1767" s="662">
        <v>0</v>
      </c>
      <c r="K1767" s="566" t="s">
        <v>5327</v>
      </c>
      <c r="L1767" s="549"/>
      <c r="M1767" s="540"/>
      <c r="O1767" s="540"/>
      <c r="S1767" s="550"/>
      <c r="T1767" s="547"/>
      <c r="U1767" s="547"/>
      <c r="V1767" s="547"/>
      <c r="W1767" s="549"/>
    </row>
    <row r="1768" spans="1:23">
      <c r="A1768" s="565">
        <v>2462</v>
      </c>
      <c r="B1768" s="696" t="s">
        <v>7174</v>
      </c>
      <c r="C1768" s="566">
        <f t="shared" si="27"/>
        <v>2462</v>
      </c>
      <c r="D1768" s="700" t="s">
        <v>2238</v>
      </c>
      <c r="E1768" s="701" t="s">
        <v>9643</v>
      </c>
      <c r="F1768" s="566">
        <v>1</v>
      </c>
      <c r="G1768" s="662">
        <v>10665.524473207766</v>
      </c>
      <c r="H1768" s="662">
        <v>10929.464206040431</v>
      </c>
      <c r="I1768" s="662">
        <v>11207.262612867238</v>
      </c>
      <c r="J1768" s="662">
        <v>11499.728422674581</v>
      </c>
      <c r="K1768" s="566" t="s">
        <v>1311</v>
      </c>
      <c r="L1768" s="549"/>
      <c r="M1768" s="540"/>
      <c r="O1768" s="540"/>
      <c r="S1768" s="550"/>
      <c r="T1768" s="547"/>
      <c r="U1768" s="547"/>
      <c r="V1768" s="547"/>
      <c r="W1768" s="549"/>
    </row>
    <row r="1769" spans="1:23">
      <c r="A1769" s="565">
        <v>2463</v>
      </c>
      <c r="B1769" s="696" t="s">
        <v>7175</v>
      </c>
      <c r="C1769" s="566">
        <f t="shared" si="27"/>
        <v>2463</v>
      </c>
      <c r="D1769" s="700" t="s">
        <v>2238</v>
      </c>
      <c r="E1769" s="701" t="s">
        <v>9644</v>
      </c>
      <c r="F1769" s="566">
        <v>1</v>
      </c>
      <c r="G1769" s="662">
        <v>12025.013496111253</v>
      </c>
      <c r="H1769" s="662">
        <v>12331.779104814403</v>
      </c>
      <c r="I1769" s="662">
        <v>0</v>
      </c>
      <c r="J1769" s="662">
        <v>0</v>
      </c>
      <c r="K1769" s="566" t="s">
        <v>1312</v>
      </c>
      <c r="L1769" s="549"/>
      <c r="M1769" s="540"/>
      <c r="O1769" s="540"/>
      <c r="S1769" s="550"/>
      <c r="T1769" s="547"/>
      <c r="U1769" s="547"/>
      <c r="V1769" s="547"/>
      <c r="W1769" s="549"/>
    </row>
    <row r="1770" spans="1:23">
      <c r="A1770" s="565">
        <v>2464</v>
      </c>
      <c r="B1770" s="696" t="s">
        <v>7176</v>
      </c>
      <c r="C1770" s="566">
        <f t="shared" si="27"/>
        <v>2464</v>
      </c>
      <c r="D1770" s="700" t="s">
        <v>2238</v>
      </c>
      <c r="E1770" s="701" t="s">
        <v>9645</v>
      </c>
      <c r="F1770" s="566">
        <v>1</v>
      </c>
      <c r="G1770" s="662">
        <v>11266.500307366818</v>
      </c>
      <c r="H1770" s="662">
        <v>11549.371650562833</v>
      </c>
      <c r="I1770" s="662">
        <v>0</v>
      </c>
      <c r="J1770" s="662">
        <v>0</v>
      </c>
      <c r="K1770" s="566" t="s">
        <v>1313</v>
      </c>
      <c r="L1770" s="549"/>
      <c r="M1770" s="540"/>
      <c r="O1770" s="540"/>
      <c r="S1770" s="550"/>
      <c r="T1770" s="547"/>
      <c r="U1770" s="547"/>
      <c r="V1770" s="547"/>
      <c r="W1770" s="549"/>
    </row>
    <row r="1771" spans="1:23">
      <c r="A1771" s="565">
        <v>2465</v>
      </c>
      <c r="B1771" s="696" t="s">
        <v>7177</v>
      </c>
      <c r="C1771" s="566">
        <f t="shared" si="27"/>
        <v>2465</v>
      </c>
      <c r="D1771" s="700" t="s">
        <v>2238</v>
      </c>
      <c r="E1771" s="701" t="s">
        <v>9646</v>
      </c>
      <c r="F1771" s="566">
        <v>1</v>
      </c>
      <c r="G1771" s="662">
        <v>12648.137931976051</v>
      </c>
      <c r="H1771" s="662">
        <v>12994.347458970204</v>
      </c>
      <c r="I1771" s="662">
        <v>0</v>
      </c>
      <c r="J1771" s="662">
        <v>0</v>
      </c>
      <c r="K1771" s="566" t="s">
        <v>1314</v>
      </c>
      <c r="L1771" s="549"/>
      <c r="M1771" s="540"/>
      <c r="O1771" s="540"/>
      <c r="S1771" s="550"/>
      <c r="T1771" s="547"/>
      <c r="U1771" s="547"/>
      <c r="V1771" s="547"/>
      <c r="W1771" s="549"/>
    </row>
    <row r="1772" spans="1:23">
      <c r="A1772" s="565">
        <v>2466</v>
      </c>
      <c r="B1772" s="695" t="s">
        <v>7178</v>
      </c>
      <c r="C1772" s="566">
        <f t="shared" si="27"/>
        <v>2466</v>
      </c>
      <c r="D1772" s="699" t="s">
        <v>2238</v>
      </c>
      <c r="E1772" s="701" t="s">
        <v>9647</v>
      </c>
      <c r="F1772" s="567">
        <v>1</v>
      </c>
      <c r="G1772" s="662">
        <v>12038.662459391715</v>
      </c>
      <c r="H1772" s="662">
        <v>12364.506720092106</v>
      </c>
      <c r="I1772" s="662">
        <v>12707.48133114068</v>
      </c>
      <c r="J1772" s="662">
        <v>13068.542063157734</v>
      </c>
      <c r="K1772" s="568" t="s">
        <v>1315</v>
      </c>
      <c r="L1772" s="549"/>
      <c r="M1772" s="540"/>
      <c r="O1772" s="540"/>
      <c r="S1772" s="550"/>
      <c r="T1772" s="547"/>
      <c r="U1772" s="547"/>
      <c r="V1772" s="547"/>
      <c r="W1772" s="549"/>
    </row>
    <row r="1773" spans="1:23">
      <c r="A1773" s="565">
        <v>2467</v>
      </c>
      <c r="B1773" s="696" t="s">
        <v>7179</v>
      </c>
      <c r="C1773" s="566">
        <f t="shared" si="27"/>
        <v>2467</v>
      </c>
      <c r="D1773" s="700" t="s">
        <v>2238</v>
      </c>
      <c r="E1773" s="701" t="s">
        <v>9648</v>
      </c>
      <c r="F1773" s="566">
        <v>1</v>
      </c>
      <c r="G1773" s="662">
        <v>0</v>
      </c>
      <c r="H1773" s="662">
        <v>0</v>
      </c>
      <c r="I1773" s="662">
        <v>11633.484165496107</v>
      </c>
      <c r="J1773" s="662">
        <v>11921.501965878277</v>
      </c>
      <c r="K1773" s="566" t="s">
        <v>4144</v>
      </c>
      <c r="L1773" s="549"/>
      <c r="M1773" s="540"/>
      <c r="O1773" s="540"/>
      <c r="S1773" s="550"/>
      <c r="T1773" s="547"/>
      <c r="U1773" s="547"/>
      <c r="V1773" s="547"/>
      <c r="W1773" s="549"/>
    </row>
    <row r="1774" spans="1:23">
      <c r="A1774" s="565">
        <v>2468</v>
      </c>
      <c r="B1774" s="696" t="s">
        <v>7180</v>
      </c>
      <c r="C1774" s="566">
        <f t="shared" si="27"/>
        <v>2468</v>
      </c>
      <c r="D1774" s="700" t="s">
        <v>2238</v>
      </c>
      <c r="E1774" s="701" t="s">
        <v>9649</v>
      </c>
      <c r="F1774" s="566">
        <v>1</v>
      </c>
      <c r="G1774" s="662">
        <v>0</v>
      </c>
      <c r="H1774" s="662">
        <v>0</v>
      </c>
      <c r="I1774" s="662">
        <v>10814.101520346812</v>
      </c>
      <c r="J1774" s="662">
        <v>11076.864920108359</v>
      </c>
      <c r="K1774" s="566" t="s">
        <v>4145</v>
      </c>
      <c r="L1774" s="549"/>
      <c r="M1774" s="540"/>
      <c r="O1774" s="540"/>
      <c r="S1774" s="550"/>
      <c r="T1774" s="547"/>
      <c r="U1774" s="547"/>
      <c r="V1774" s="547"/>
      <c r="W1774" s="549"/>
    </row>
    <row r="1775" spans="1:23">
      <c r="A1775" s="565">
        <v>2469</v>
      </c>
      <c r="B1775" s="696" t="s">
        <v>7181</v>
      </c>
      <c r="C1775" s="566">
        <f t="shared" si="27"/>
        <v>2469</v>
      </c>
      <c r="D1775" s="700" t="s">
        <v>2238</v>
      </c>
      <c r="E1775" s="701" t="s">
        <v>9650</v>
      </c>
      <c r="F1775" s="566">
        <v>1</v>
      </c>
      <c r="G1775" s="662">
        <v>13559.158079370764</v>
      </c>
      <c r="H1775" s="662">
        <v>0</v>
      </c>
      <c r="I1775" s="662">
        <v>0</v>
      </c>
      <c r="J1775" s="662">
        <v>0</v>
      </c>
      <c r="K1775" s="566" t="s">
        <v>5328</v>
      </c>
      <c r="L1775" s="549"/>
      <c r="M1775" s="540"/>
      <c r="O1775" s="540"/>
      <c r="S1775" s="550"/>
      <c r="T1775" s="547"/>
      <c r="U1775" s="547"/>
      <c r="V1775" s="547"/>
      <c r="W1775" s="549"/>
    </row>
    <row r="1776" spans="1:23">
      <c r="A1776" s="565">
        <v>2470</v>
      </c>
      <c r="B1776" s="696" t="s">
        <v>7182</v>
      </c>
      <c r="C1776" s="566">
        <f t="shared" si="27"/>
        <v>2470</v>
      </c>
      <c r="D1776" s="700" t="s">
        <v>2238</v>
      </c>
      <c r="E1776" s="701" t="s">
        <v>9651</v>
      </c>
      <c r="F1776" s="566">
        <v>1</v>
      </c>
      <c r="G1776" s="662">
        <v>12853.449637431007</v>
      </c>
      <c r="H1776" s="662">
        <v>13206.533360809524</v>
      </c>
      <c r="I1776" s="662">
        <v>0</v>
      </c>
      <c r="J1776" s="662">
        <v>0</v>
      </c>
      <c r="K1776" s="566" t="s">
        <v>1316</v>
      </c>
      <c r="L1776" s="549"/>
      <c r="M1776" s="540"/>
      <c r="O1776" s="540"/>
      <c r="S1776" s="550"/>
      <c r="T1776" s="547"/>
      <c r="U1776" s="547"/>
      <c r="V1776" s="547"/>
      <c r="W1776" s="549"/>
    </row>
    <row r="1777" spans="1:23">
      <c r="A1777" s="565">
        <v>2471</v>
      </c>
      <c r="B1777" s="696" t="s">
        <v>7183</v>
      </c>
      <c r="C1777" s="566">
        <f t="shared" si="27"/>
        <v>2471</v>
      </c>
      <c r="D1777" s="700" t="s">
        <v>2238</v>
      </c>
      <c r="E1777" s="701" t="s">
        <v>9652</v>
      </c>
      <c r="F1777" s="566">
        <v>1</v>
      </c>
      <c r="G1777" s="662">
        <v>0</v>
      </c>
      <c r="H1777" s="662">
        <v>0</v>
      </c>
      <c r="I1777" s="662">
        <v>12187.27381532115</v>
      </c>
      <c r="J1777" s="662">
        <v>12492.348445234564</v>
      </c>
      <c r="K1777" s="566" t="s">
        <v>4146</v>
      </c>
      <c r="L1777" s="549"/>
      <c r="M1777" s="540"/>
      <c r="O1777" s="540"/>
      <c r="S1777" s="550"/>
      <c r="T1777" s="547"/>
      <c r="U1777" s="547"/>
      <c r="V1777" s="547"/>
      <c r="W1777" s="549"/>
    </row>
    <row r="1778" spans="1:23">
      <c r="A1778" s="565">
        <v>2472</v>
      </c>
      <c r="B1778" s="696" t="s">
        <v>7184</v>
      </c>
      <c r="C1778" s="566">
        <f t="shared" si="27"/>
        <v>2472</v>
      </c>
      <c r="D1778" s="700" t="s">
        <v>2238</v>
      </c>
      <c r="E1778" s="701" t="s">
        <v>9653</v>
      </c>
      <c r="F1778" s="566">
        <v>1</v>
      </c>
      <c r="G1778" s="662">
        <v>0</v>
      </c>
      <c r="H1778" s="662">
        <v>0</v>
      </c>
      <c r="I1778" s="662">
        <v>11396.145744142523</v>
      </c>
      <c r="J1778" s="662">
        <v>11676.811462830183</v>
      </c>
      <c r="K1778" s="566" t="s">
        <v>4147</v>
      </c>
      <c r="L1778" s="549"/>
      <c r="M1778" s="540"/>
      <c r="O1778" s="540"/>
      <c r="S1778" s="550"/>
      <c r="T1778" s="547"/>
      <c r="U1778" s="547"/>
      <c r="V1778" s="547"/>
      <c r="W1778" s="549"/>
    </row>
    <row r="1779" spans="1:23">
      <c r="A1779" s="565">
        <v>2473</v>
      </c>
      <c r="B1779" s="696" t="s">
        <v>7185</v>
      </c>
      <c r="C1779" s="566">
        <f t="shared" si="27"/>
        <v>2473</v>
      </c>
      <c r="D1779" s="700" t="s">
        <v>2238</v>
      </c>
      <c r="E1779" s="701" t="s">
        <v>9654</v>
      </c>
      <c r="F1779" s="566">
        <v>1</v>
      </c>
      <c r="G1779" s="662">
        <v>0</v>
      </c>
      <c r="H1779" s="662">
        <v>0</v>
      </c>
      <c r="I1779" s="662">
        <v>16566.732780774288</v>
      </c>
      <c r="J1779" s="662">
        <v>17006.754870190314</v>
      </c>
      <c r="K1779" s="566" t="s">
        <v>4148</v>
      </c>
      <c r="L1779" s="549"/>
      <c r="M1779" s="540"/>
      <c r="O1779" s="540"/>
      <c r="S1779" s="550"/>
      <c r="T1779" s="547"/>
      <c r="U1779" s="547"/>
      <c r="V1779" s="547"/>
      <c r="W1779" s="549"/>
    </row>
    <row r="1780" spans="1:23">
      <c r="A1780" s="565">
        <v>2474</v>
      </c>
      <c r="B1780" s="696" t="s">
        <v>7186</v>
      </c>
      <c r="C1780" s="566">
        <f t="shared" si="27"/>
        <v>2474</v>
      </c>
      <c r="D1780" s="700" t="s">
        <v>2238</v>
      </c>
      <c r="E1780" s="701" t="s">
        <v>9655</v>
      </c>
      <c r="F1780" s="566">
        <v>1</v>
      </c>
      <c r="G1780" s="662">
        <v>0</v>
      </c>
      <c r="H1780" s="662">
        <v>0</v>
      </c>
      <c r="I1780" s="662">
        <v>15945.132153419645</v>
      </c>
      <c r="J1780" s="662">
        <v>16366.002070021488</v>
      </c>
      <c r="K1780" s="566" t="s">
        <v>4149</v>
      </c>
      <c r="L1780" s="549"/>
      <c r="M1780" s="540"/>
      <c r="O1780" s="540"/>
      <c r="S1780" s="550"/>
      <c r="T1780" s="547"/>
      <c r="U1780" s="547"/>
      <c r="V1780" s="547"/>
      <c r="W1780" s="549"/>
    </row>
    <row r="1781" spans="1:23">
      <c r="A1781" s="565">
        <v>2475</v>
      </c>
      <c r="B1781" s="696" t="s">
        <v>7187</v>
      </c>
      <c r="C1781" s="566">
        <f t="shared" si="27"/>
        <v>2475</v>
      </c>
      <c r="D1781" s="700" t="s">
        <v>2238</v>
      </c>
      <c r="E1781" s="701" t="s">
        <v>9656</v>
      </c>
      <c r="F1781" s="566">
        <v>2</v>
      </c>
      <c r="G1781" s="662">
        <v>48622.769816425302</v>
      </c>
      <c r="H1781" s="662">
        <v>50150.316250465199</v>
      </c>
      <c r="I1781" s="662">
        <v>51758.272393633466</v>
      </c>
      <c r="J1781" s="662">
        <v>53450.875347240042</v>
      </c>
      <c r="K1781" s="566" t="s">
        <v>1317</v>
      </c>
      <c r="L1781" s="549"/>
      <c r="M1781" s="540"/>
      <c r="O1781" s="540"/>
      <c r="S1781" s="550"/>
      <c r="T1781" s="547"/>
      <c r="U1781" s="547"/>
      <c r="V1781" s="547"/>
      <c r="W1781" s="549"/>
    </row>
    <row r="1782" spans="1:23">
      <c r="A1782" s="565">
        <v>2476</v>
      </c>
      <c r="B1782" s="696" t="s">
        <v>7188</v>
      </c>
      <c r="C1782" s="566">
        <f t="shared" si="27"/>
        <v>2476</v>
      </c>
      <c r="D1782" s="700" t="s">
        <v>2238</v>
      </c>
      <c r="E1782" s="701" t="s">
        <v>9657</v>
      </c>
      <c r="F1782" s="566">
        <v>2</v>
      </c>
      <c r="G1782" s="662">
        <v>41686.217831841881</v>
      </c>
      <c r="H1782" s="662">
        <v>42977.676789524361</v>
      </c>
      <c r="I1782" s="662">
        <v>44337.119799684842</v>
      </c>
      <c r="J1782" s="662">
        <v>45768.117453314808</v>
      </c>
      <c r="K1782" s="566" t="s">
        <v>1318</v>
      </c>
      <c r="L1782" s="549"/>
      <c r="M1782" s="540"/>
      <c r="O1782" s="540"/>
      <c r="S1782" s="550"/>
      <c r="T1782" s="547"/>
      <c r="U1782" s="547"/>
      <c r="V1782" s="547"/>
      <c r="W1782" s="549"/>
    </row>
    <row r="1783" spans="1:23">
      <c r="A1783" s="565">
        <v>2477</v>
      </c>
      <c r="B1783" s="696" t="s">
        <v>7189</v>
      </c>
      <c r="C1783" s="566">
        <f t="shared" si="27"/>
        <v>2477</v>
      </c>
      <c r="D1783" s="700" t="s">
        <v>2238</v>
      </c>
      <c r="E1783" s="701" t="s">
        <v>9658</v>
      </c>
      <c r="F1783" s="566">
        <v>2</v>
      </c>
      <c r="G1783" s="662">
        <v>44236.422167582248</v>
      </c>
      <c r="H1783" s="662">
        <v>45614.670290297916</v>
      </c>
      <c r="I1783" s="662">
        <v>47065.472821960684</v>
      </c>
      <c r="J1783" s="662">
        <v>48592.638392961497</v>
      </c>
      <c r="K1783" s="566" t="s">
        <v>1319</v>
      </c>
      <c r="L1783" s="549"/>
      <c r="M1783" s="540"/>
      <c r="O1783" s="540"/>
      <c r="S1783" s="550"/>
      <c r="T1783" s="547"/>
      <c r="U1783" s="547"/>
      <c r="V1783" s="547"/>
      <c r="W1783" s="549"/>
    </row>
    <row r="1784" spans="1:23">
      <c r="A1784" s="565">
        <v>2478</v>
      </c>
      <c r="B1784" s="696" t="s">
        <v>7190</v>
      </c>
      <c r="C1784" s="566">
        <f t="shared" si="27"/>
        <v>2478</v>
      </c>
      <c r="D1784" s="700" t="s">
        <v>2238</v>
      </c>
      <c r="E1784" s="701" t="s">
        <v>9659</v>
      </c>
      <c r="F1784" s="566">
        <v>2</v>
      </c>
      <c r="G1784" s="662">
        <v>36891.991738811193</v>
      </c>
      <c r="H1784" s="662">
        <v>38020.298492122471</v>
      </c>
      <c r="I1784" s="662">
        <v>39207.972271652266</v>
      </c>
      <c r="J1784" s="662">
        <v>40458.155197473112</v>
      </c>
      <c r="K1784" s="566" t="s">
        <v>1320</v>
      </c>
      <c r="L1784" s="549"/>
      <c r="M1784" s="540"/>
      <c r="O1784" s="540"/>
      <c r="S1784" s="550"/>
      <c r="T1784" s="547"/>
      <c r="U1784" s="547"/>
      <c r="V1784" s="547"/>
      <c r="W1784" s="549"/>
    </row>
    <row r="1785" spans="1:23">
      <c r="A1785" s="565">
        <v>2479</v>
      </c>
      <c r="B1785" s="695" t="s">
        <v>7191</v>
      </c>
      <c r="C1785" s="566">
        <f t="shared" si="27"/>
        <v>2479</v>
      </c>
      <c r="D1785" s="699" t="s">
        <v>2238</v>
      </c>
      <c r="E1785" s="701" t="s">
        <v>9660</v>
      </c>
      <c r="F1785" s="567">
        <v>2</v>
      </c>
      <c r="G1785" s="662">
        <v>33321.734233502604</v>
      </c>
      <c r="H1785" s="662">
        <v>34328.545677343398</v>
      </c>
      <c r="I1785" s="662">
        <v>35388.344691497914</v>
      </c>
      <c r="J1785" s="662">
        <v>36503.892532999598</v>
      </c>
      <c r="K1785" s="568" t="s">
        <v>1321</v>
      </c>
      <c r="L1785" s="549"/>
      <c r="M1785" s="540"/>
      <c r="O1785" s="540"/>
      <c r="S1785" s="550"/>
      <c r="T1785" s="547"/>
      <c r="U1785" s="547"/>
      <c r="V1785" s="547"/>
      <c r="W1785" s="549"/>
    </row>
    <row r="1786" spans="1:23">
      <c r="A1786" s="565">
        <v>2480</v>
      </c>
      <c r="B1786" s="695" t="s">
        <v>7192</v>
      </c>
      <c r="C1786" s="566">
        <f t="shared" si="27"/>
        <v>2480</v>
      </c>
      <c r="D1786" s="699" t="s">
        <v>2238</v>
      </c>
      <c r="E1786" s="701" t="s">
        <v>9661</v>
      </c>
      <c r="F1786" s="567">
        <v>1</v>
      </c>
      <c r="G1786" s="662">
        <v>12005.158961977393</v>
      </c>
      <c r="H1786" s="662">
        <v>12361.455867424547</v>
      </c>
      <c r="I1786" s="662">
        <v>12736.474555721563</v>
      </c>
      <c r="J1786" s="662">
        <v>13131.251526957009</v>
      </c>
      <c r="K1786" s="568" t="s">
        <v>1322</v>
      </c>
      <c r="L1786" s="549"/>
      <c r="M1786" s="540"/>
      <c r="O1786" s="540"/>
      <c r="S1786" s="550"/>
      <c r="T1786" s="547"/>
      <c r="U1786" s="547"/>
      <c r="V1786" s="547"/>
      <c r="W1786" s="549"/>
    </row>
    <row r="1787" spans="1:23">
      <c r="A1787" s="565">
        <v>2481</v>
      </c>
      <c r="B1787" s="696" t="s">
        <v>7193</v>
      </c>
      <c r="C1787" s="566">
        <f t="shared" si="27"/>
        <v>2481</v>
      </c>
      <c r="D1787" s="700" t="s">
        <v>2238</v>
      </c>
      <c r="E1787" s="701" t="s">
        <v>9662</v>
      </c>
      <c r="F1787" s="566">
        <v>1</v>
      </c>
      <c r="G1787" s="662">
        <v>12256.253481002648</v>
      </c>
      <c r="H1787" s="662">
        <v>12621.749324735891</v>
      </c>
      <c r="I1787" s="662">
        <v>13006.485201363281</v>
      </c>
      <c r="J1787" s="662">
        <v>13411.432829717856</v>
      </c>
      <c r="K1787" s="566" t="s">
        <v>1323</v>
      </c>
      <c r="L1787" s="549"/>
      <c r="M1787" s="540"/>
      <c r="O1787" s="540"/>
      <c r="S1787" s="550"/>
      <c r="T1787" s="547"/>
      <c r="U1787" s="547"/>
      <c r="V1787" s="547"/>
      <c r="W1787" s="549"/>
    </row>
    <row r="1788" spans="1:23">
      <c r="A1788" s="565">
        <v>2482</v>
      </c>
      <c r="B1788" s="696" t="s">
        <v>7194</v>
      </c>
      <c r="C1788" s="566">
        <f t="shared" si="27"/>
        <v>2482</v>
      </c>
      <c r="D1788" s="700" t="s">
        <v>2238</v>
      </c>
      <c r="E1788" s="701" t="s">
        <v>9663</v>
      </c>
      <c r="F1788" s="566">
        <v>1</v>
      </c>
      <c r="G1788" s="662">
        <v>13502.42627912798</v>
      </c>
      <c r="H1788" s="662">
        <v>13913.592908013992</v>
      </c>
      <c r="I1788" s="662">
        <v>14346.39647624898</v>
      </c>
      <c r="J1788" s="662">
        <v>14802.003046432588</v>
      </c>
      <c r="K1788" s="566" t="s">
        <v>1324</v>
      </c>
      <c r="L1788" s="549"/>
      <c r="M1788" s="540"/>
      <c r="O1788" s="540"/>
      <c r="S1788" s="550"/>
      <c r="T1788" s="547"/>
      <c r="U1788" s="547"/>
      <c r="V1788" s="547"/>
      <c r="W1788" s="549"/>
    </row>
    <row r="1789" spans="1:23">
      <c r="A1789" s="565">
        <v>2483</v>
      </c>
      <c r="B1789" s="696" t="s">
        <v>7195</v>
      </c>
      <c r="C1789" s="566">
        <f t="shared" si="27"/>
        <v>2483</v>
      </c>
      <c r="D1789" s="700" t="s">
        <v>2238</v>
      </c>
      <c r="E1789" s="701" t="s">
        <v>9664</v>
      </c>
      <c r="F1789" s="566">
        <v>1</v>
      </c>
      <c r="G1789" s="662">
        <v>13883.345964286287</v>
      </c>
      <c r="H1789" s="662">
        <v>14308.505344368043</v>
      </c>
      <c r="I1789" s="662">
        <v>14756.079038865206</v>
      </c>
      <c r="J1789" s="662">
        <v>15227.168329121883</v>
      </c>
      <c r="K1789" s="566" t="s">
        <v>1325</v>
      </c>
      <c r="L1789" s="549"/>
      <c r="M1789" s="540"/>
      <c r="O1789" s="540"/>
      <c r="S1789" s="550"/>
      <c r="T1789" s="547"/>
      <c r="U1789" s="547"/>
      <c r="V1789" s="547"/>
      <c r="W1789" s="549"/>
    </row>
    <row r="1790" spans="1:23">
      <c r="A1790" s="565">
        <v>2484</v>
      </c>
      <c r="B1790" s="696" t="s">
        <v>7196</v>
      </c>
      <c r="C1790" s="566">
        <f t="shared" si="27"/>
        <v>2484</v>
      </c>
      <c r="D1790" s="700" t="s">
        <v>2238</v>
      </c>
      <c r="E1790" s="701" t="s">
        <v>9665</v>
      </c>
      <c r="F1790" s="566">
        <v>1</v>
      </c>
      <c r="G1790" s="662">
        <v>12646.844955041926</v>
      </c>
      <c r="H1790" s="662">
        <v>13026.657456248593</v>
      </c>
      <c r="I1790" s="662">
        <v>13426.48736541584</v>
      </c>
      <c r="J1790" s="662">
        <v>13847.306401376693</v>
      </c>
      <c r="K1790" s="566" t="s">
        <v>1326</v>
      </c>
      <c r="L1790" s="549"/>
      <c r="M1790" s="540"/>
      <c r="O1790" s="540"/>
      <c r="S1790" s="550"/>
      <c r="T1790" s="547"/>
      <c r="U1790" s="547"/>
      <c r="V1790" s="547"/>
      <c r="W1790" s="549"/>
    </row>
    <row r="1791" spans="1:23">
      <c r="A1791" s="565">
        <v>2485</v>
      </c>
      <c r="B1791" s="696" t="s">
        <v>7197</v>
      </c>
      <c r="C1791" s="566">
        <f t="shared" si="27"/>
        <v>2485</v>
      </c>
      <c r="D1791" s="700" t="s">
        <v>2238</v>
      </c>
      <c r="E1791" s="701" t="s">
        <v>9666</v>
      </c>
      <c r="F1791" s="566">
        <v>1</v>
      </c>
      <c r="G1791" s="662">
        <v>13623.323640140135</v>
      </c>
      <c r="H1791" s="662">
        <v>14038.960175658125</v>
      </c>
      <c r="I1791" s="662">
        <v>14476.427994291695</v>
      </c>
      <c r="J1791" s="662">
        <v>14936.893158640492</v>
      </c>
      <c r="K1791" s="566" t="s">
        <v>1327</v>
      </c>
      <c r="L1791" s="549"/>
      <c r="M1791" s="540"/>
      <c r="O1791" s="540"/>
      <c r="S1791" s="550"/>
      <c r="T1791" s="547"/>
      <c r="U1791" s="547"/>
      <c r="V1791" s="547"/>
      <c r="W1791" s="549"/>
    </row>
    <row r="1792" spans="1:23">
      <c r="A1792" s="565">
        <v>2486</v>
      </c>
      <c r="B1792" s="696" t="s">
        <v>7198</v>
      </c>
      <c r="C1792" s="566">
        <f t="shared" si="27"/>
        <v>2486</v>
      </c>
      <c r="D1792" s="700" t="s">
        <v>2238</v>
      </c>
      <c r="E1792" s="701" t="s">
        <v>9667</v>
      </c>
      <c r="F1792" s="566">
        <v>1</v>
      </c>
      <c r="G1792" s="662">
        <v>15165.403258491071</v>
      </c>
      <c r="H1792" s="662">
        <v>15520.146057383396</v>
      </c>
      <c r="I1792" s="662">
        <v>15893.546702721284</v>
      </c>
      <c r="J1792" s="662">
        <v>16286.607139814578</v>
      </c>
      <c r="K1792" s="566" t="s">
        <v>1328</v>
      </c>
      <c r="L1792" s="549"/>
      <c r="M1792" s="540"/>
      <c r="O1792" s="540"/>
      <c r="S1792" s="550"/>
      <c r="T1792" s="547"/>
      <c r="U1792" s="547"/>
      <c r="V1792" s="547"/>
      <c r="W1792" s="549"/>
    </row>
    <row r="1793" spans="1:23">
      <c r="A1793" s="565">
        <v>2487</v>
      </c>
      <c r="B1793" s="696" t="s">
        <v>7199</v>
      </c>
      <c r="C1793" s="566">
        <f t="shared" si="27"/>
        <v>2487</v>
      </c>
      <c r="D1793" s="700" t="s">
        <v>2238</v>
      </c>
      <c r="E1793" s="701" t="s">
        <v>9668</v>
      </c>
      <c r="F1793" s="566">
        <v>1</v>
      </c>
      <c r="G1793" s="662">
        <v>15155.648772879873</v>
      </c>
      <c r="H1793" s="662">
        <v>15506.817064180312</v>
      </c>
      <c r="I1793" s="662">
        <v>15876.480724308489</v>
      </c>
      <c r="J1793" s="662">
        <v>16265.587539368325</v>
      </c>
      <c r="K1793" s="566" t="s">
        <v>1329</v>
      </c>
      <c r="L1793" s="549"/>
      <c r="M1793" s="540"/>
      <c r="O1793" s="540"/>
      <c r="S1793" s="550"/>
      <c r="T1793" s="547"/>
      <c r="U1793" s="547"/>
      <c r="V1793" s="547"/>
      <c r="W1793" s="549"/>
    </row>
    <row r="1794" spans="1:23">
      <c r="A1794" s="565">
        <v>2488</v>
      </c>
      <c r="B1794" s="696" t="s">
        <v>7200</v>
      </c>
      <c r="C1794" s="566">
        <f t="shared" si="27"/>
        <v>2488</v>
      </c>
      <c r="D1794" s="700" t="s">
        <v>2238</v>
      </c>
      <c r="E1794" s="701" t="s">
        <v>9669</v>
      </c>
      <c r="F1794" s="566">
        <v>1</v>
      </c>
      <c r="G1794" s="662">
        <v>15960.924431607105</v>
      </c>
      <c r="H1794" s="662">
        <v>16334.758350592498</v>
      </c>
      <c r="I1794" s="662">
        <v>16728.279140936262</v>
      </c>
      <c r="J1794" s="662">
        <v>17142.488747948253</v>
      </c>
      <c r="K1794" s="566" t="s">
        <v>1330</v>
      </c>
      <c r="L1794" s="549"/>
      <c r="M1794" s="540"/>
      <c r="O1794" s="540"/>
      <c r="S1794" s="550"/>
      <c r="T1794" s="547"/>
      <c r="U1794" s="547"/>
      <c r="V1794" s="547"/>
      <c r="W1794" s="549"/>
    </row>
    <row r="1795" spans="1:23">
      <c r="A1795" s="565">
        <v>2489</v>
      </c>
      <c r="B1795" s="695" t="s">
        <v>7201</v>
      </c>
      <c r="C1795" s="566">
        <f t="shared" si="27"/>
        <v>2489</v>
      </c>
      <c r="D1795" s="699" t="s">
        <v>2238</v>
      </c>
      <c r="E1795" s="701" t="s">
        <v>9670</v>
      </c>
      <c r="F1795" s="567">
        <v>1</v>
      </c>
      <c r="G1795" s="662">
        <v>14714.276706717503</v>
      </c>
      <c r="H1795" s="662">
        <v>15059.62288337963</v>
      </c>
      <c r="I1795" s="662">
        <v>15423.139473633873</v>
      </c>
      <c r="J1795" s="662">
        <v>15805.774263584146</v>
      </c>
      <c r="K1795" s="568" t="s">
        <v>1331</v>
      </c>
      <c r="L1795" s="549"/>
      <c r="M1795" s="540"/>
      <c r="O1795" s="540"/>
      <c r="S1795" s="550"/>
      <c r="T1795" s="547"/>
      <c r="U1795" s="547"/>
      <c r="V1795" s="547"/>
      <c r="W1795" s="549"/>
    </row>
    <row r="1796" spans="1:23">
      <c r="A1796" s="565">
        <v>2490</v>
      </c>
      <c r="B1796" s="696" t="s">
        <v>7202</v>
      </c>
      <c r="C1796" s="566">
        <f t="shared" si="27"/>
        <v>2490</v>
      </c>
      <c r="D1796" s="700" t="s">
        <v>2238</v>
      </c>
      <c r="E1796" s="701" t="s">
        <v>9671</v>
      </c>
      <c r="F1796" s="566">
        <v>1</v>
      </c>
      <c r="G1796" s="662">
        <v>20288.942568985309</v>
      </c>
      <c r="H1796" s="662">
        <v>20786.394875523631</v>
      </c>
      <c r="I1796" s="662">
        <v>21283.84718206196</v>
      </c>
      <c r="J1796" s="662">
        <v>21807.485464671194</v>
      </c>
      <c r="K1796" s="566" t="s">
        <v>1332</v>
      </c>
      <c r="L1796" s="549"/>
      <c r="M1796" s="540"/>
      <c r="O1796" s="540"/>
      <c r="S1796" s="550"/>
      <c r="T1796" s="547"/>
      <c r="U1796" s="547"/>
      <c r="V1796" s="547"/>
      <c r="W1796" s="549"/>
    </row>
    <row r="1797" spans="1:23">
      <c r="A1797" s="565">
        <v>2491</v>
      </c>
      <c r="B1797" s="696" t="s">
        <v>7203</v>
      </c>
      <c r="C1797" s="566">
        <f t="shared" si="27"/>
        <v>2491</v>
      </c>
      <c r="D1797" s="700" t="s">
        <v>2238</v>
      </c>
      <c r="E1797" s="701" t="s">
        <v>9672</v>
      </c>
      <c r="F1797" s="566">
        <v>2</v>
      </c>
      <c r="G1797" s="662">
        <v>22294.979635504082</v>
      </c>
      <c r="H1797" s="662">
        <v>23111.469372678646</v>
      </c>
      <c r="I1797" s="662">
        <v>23970.943752515363</v>
      </c>
      <c r="J1797" s="662">
        <v>24875.64212742736</v>
      </c>
      <c r="K1797" s="566" t="s">
        <v>1333</v>
      </c>
      <c r="L1797" s="549"/>
      <c r="M1797" s="540"/>
      <c r="O1797" s="540"/>
      <c r="S1797" s="550"/>
      <c r="T1797" s="547"/>
      <c r="U1797" s="547"/>
      <c r="V1797" s="547"/>
      <c r="W1797" s="549"/>
    </row>
    <row r="1798" spans="1:23">
      <c r="A1798" s="565">
        <v>2492</v>
      </c>
      <c r="B1798" s="696" t="s">
        <v>7204</v>
      </c>
      <c r="C1798" s="566">
        <f t="shared" si="27"/>
        <v>2492</v>
      </c>
      <c r="D1798" s="700" t="s">
        <v>2238</v>
      </c>
      <c r="E1798" s="701" t="s">
        <v>9673</v>
      </c>
      <c r="F1798" s="566">
        <v>2</v>
      </c>
      <c r="G1798" s="662">
        <v>23249.694457274079</v>
      </c>
      <c r="H1798" s="662">
        <v>24108.021851728448</v>
      </c>
      <c r="I1798" s="662">
        <v>25011.518622906566</v>
      </c>
      <c r="J1798" s="662">
        <v>25962.587978276206</v>
      </c>
      <c r="K1798" s="566" t="s">
        <v>1334</v>
      </c>
      <c r="L1798" s="549"/>
      <c r="M1798" s="540"/>
      <c r="O1798" s="540"/>
      <c r="S1798" s="550"/>
      <c r="T1798" s="547"/>
      <c r="U1798" s="547"/>
      <c r="V1798" s="547"/>
      <c r="W1798" s="549"/>
    </row>
    <row r="1799" spans="1:23">
      <c r="A1799" s="565">
        <v>2493</v>
      </c>
      <c r="B1799" s="696" t="s">
        <v>7205</v>
      </c>
      <c r="C1799" s="566">
        <f t="shared" si="27"/>
        <v>2493</v>
      </c>
      <c r="D1799" s="700" t="s">
        <v>2238</v>
      </c>
      <c r="E1799" s="701" t="s">
        <v>9674</v>
      </c>
      <c r="F1799" s="566">
        <v>2</v>
      </c>
      <c r="G1799" s="662">
        <v>23904.331080955657</v>
      </c>
      <c r="H1799" s="662">
        <v>24791.333109968637</v>
      </c>
      <c r="I1799" s="662">
        <v>25725.033829548487</v>
      </c>
      <c r="J1799" s="662">
        <v>26707.89106551453</v>
      </c>
      <c r="K1799" s="566" t="s">
        <v>1335</v>
      </c>
      <c r="L1799" s="549"/>
      <c r="M1799" s="540"/>
      <c r="O1799" s="540"/>
      <c r="S1799" s="550"/>
      <c r="T1799" s="547"/>
      <c r="U1799" s="547"/>
      <c r="V1799" s="547"/>
      <c r="W1799" s="549"/>
    </row>
    <row r="1800" spans="1:23">
      <c r="A1800" s="565">
        <v>2494</v>
      </c>
      <c r="B1800" s="695" t="s">
        <v>7206</v>
      </c>
      <c r="C1800" s="566">
        <f t="shared" si="27"/>
        <v>2494</v>
      </c>
      <c r="D1800" s="699" t="s">
        <v>2238</v>
      </c>
      <c r="E1800" s="701" t="s">
        <v>9675</v>
      </c>
      <c r="F1800" s="567">
        <v>2</v>
      </c>
      <c r="G1800" s="662">
        <v>21455.162727324212</v>
      </c>
      <c r="H1800" s="662">
        <v>22210.698384179905</v>
      </c>
      <c r="I1800" s="662">
        <v>23005.99620095687</v>
      </c>
      <c r="J1800" s="662">
        <v>23843.131675013636</v>
      </c>
      <c r="K1800" s="568" t="s">
        <v>1336</v>
      </c>
      <c r="L1800" s="549"/>
      <c r="M1800" s="540"/>
      <c r="O1800" s="540"/>
      <c r="S1800" s="550"/>
      <c r="T1800" s="547"/>
      <c r="U1800" s="547"/>
      <c r="V1800" s="547"/>
      <c r="W1800" s="549"/>
    </row>
    <row r="1801" spans="1:23">
      <c r="A1801" s="565">
        <v>2495</v>
      </c>
      <c r="B1801" s="695" t="s">
        <v>7207</v>
      </c>
      <c r="C1801" s="566">
        <f t="shared" ref="C1801:C1864" si="28">A1801</f>
        <v>2495</v>
      </c>
      <c r="D1801" s="699" t="s">
        <v>2238</v>
      </c>
      <c r="E1801" s="701" t="s">
        <v>9676</v>
      </c>
      <c r="F1801" s="567">
        <v>2</v>
      </c>
      <c r="G1801" s="662">
        <v>20457.148837563862</v>
      </c>
      <c r="H1801" s="662">
        <v>21170.300653624359</v>
      </c>
      <c r="I1801" s="662">
        <v>21920.975277192974</v>
      </c>
      <c r="J1801" s="662">
        <v>22711.193587276703</v>
      </c>
      <c r="K1801" s="568" t="s">
        <v>1337</v>
      </c>
      <c r="L1801" s="549"/>
      <c r="M1801" s="540"/>
      <c r="O1801" s="540"/>
      <c r="S1801" s="550"/>
      <c r="T1801" s="547"/>
      <c r="U1801" s="547"/>
      <c r="V1801" s="547"/>
      <c r="W1801" s="549"/>
    </row>
    <row r="1802" spans="1:23">
      <c r="A1802" s="565">
        <v>2496</v>
      </c>
      <c r="B1802" s="695" t="s">
        <v>7208</v>
      </c>
      <c r="C1802" s="566">
        <f t="shared" si="28"/>
        <v>2496</v>
      </c>
      <c r="D1802" s="699" t="s">
        <v>2238</v>
      </c>
      <c r="E1802" s="701" t="s">
        <v>9677</v>
      </c>
      <c r="F1802" s="567">
        <v>1</v>
      </c>
      <c r="G1802" s="662">
        <v>0</v>
      </c>
      <c r="H1802" s="662">
        <v>12995.354630882179</v>
      </c>
      <c r="I1802" s="662">
        <v>13325.316057331489</v>
      </c>
      <c r="J1802" s="662">
        <v>13672.628396579821</v>
      </c>
      <c r="K1802" s="568" t="s">
        <v>3192</v>
      </c>
      <c r="L1802" s="549"/>
      <c r="M1802" s="540"/>
      <c r="O1802" s="540"/>
      <c r="S1802" s="550"/>
      <c r="T1802" s="547"/>
      <c r="U1802" s="547"/>
      <c r="V1802" s="547"/>
      <c r="W1802" s="549"/>
    </row>
    <row r="1803" spans="1:23">
      <c r="A1803" s="565">
        <v>2497</v>
      </c>
      <c r="B1803" s="696" t="s">
        <v>7209</v>
      </c>
      <c r="C1803" s="566">
        <f t="shared" si="28"/>
        <v>2497</v>
      </c>
      <c r="D1803" s="700" t="s">
        <v>2238</v>
      </c>
      <c r="E1803" s="701" t="s">
        <v>9678</v>
      </c>
      <c r="F1803" s="566">
        <v>1</v>
      </c>
      <c r="G1803" s="662">
        <v>0</v>
      </c>
      <c r="H1803" s="662">
        <v>12317.244855586214</v>
      </c>
      <c r="I1803" s="662">
        <v>12626.289609614654</v>
      </c>
      <c r="J1803" s="662">
        <v>12951.619224596427</v>
      </c>
      <c r="K1803" s="566" t="s">
        <v>3193</v>
      </c>
      <c r="L1803" s="549"/>
      <c r="M1803" s="540"/>
      <c r="O1803" s="540"/>
      <c r="S1803" s="550"/>
      <c r="T1803" s="547"/>
      <c r="U1803" s="547"/>
      <c r="V1803" s="547"/>
      <c r="W1803" s="549"/>
    </row>
    <row r="1804" spans="1:23">
      <c r="A1804" s="565">
        <v>2498</v>
      </c>
      <c r="B1804" s="695" t="s">
        <v>7210</v>
      </c>
      <c r="C1804" s="566">
        <f t="shared" si="28"/>
        <v>2498</v>
      </c>
      <c r="D1804" s="699" t="s">
        <v>2238</v>
      </c>
      <c r="E1804" s="701" t="s">
        <v>9679</v>
      </c>
      <c r="F1804" s="567">
        <v>1</v>
      </c>
      <c r="G1804" s="662">
        <v>0</v>
      </c>
      <c r="H1804" s="662">
        <v>0</v>
      </c>
      <c r="I1804" s="662">
        <v>13826.039105619742</v>
      </c>
      <c r="J1804" s="662">
        <v>14181.585776365924</v>
      </c>
      <c r="K1804" s="568" t="s">
        <v>4150</v>
      </c>
      <c r="L1804" s="549"/>
      <c r="M1804" s="540"/>
      <c r="O1804" s="540"/>
      <c r="S1804" s="550"/>
      <c r="T1804" s="547"/>
      <c r="U1804" s="547"/>
      <c r="V1804" s="547"/>
      <c r="W1804" s="549"/>
    </row>
    <row r="1805" spans="1:23">
      <c r="A1805" s="565">
        <v>2499</v>
      </c>
      <c r="B1805" s="695" t="s">
        <v>7211</v>
      </c>
      <c r="C1805" s="566">
        <f t="shared" si="28"/>
        <v>2499</v>
      </c>
      <c r="D1805" s="699" t="s">
        <v>2238</v>
      </c>
      <c r="E1805" s="701" t="s">
        <v>9680</v>
      </c>
      <c r="F1805" s="567">
        <v>1</v>
      </c>
      <c r="G1805" s="662">
        <v>0</v>
      </c>
      <c r="H1805" s="662">
        <v>12447.21589585127</v>
      </c>
      <c r="I1805" s="662">
        <v>12760.267534403227</v>
      </c>
      <c r="J1805" s="662">
        <v>13089.824596359331</v>
      </c>
      <c r="K1805" s="568" t="s">
        <v>3194</v>
      </c>
      <c r="L1805" s="549"/>
      <c r="M1805" s="540"/>
      <c r="O1805" s="540"/>
      <c r="S1805" s="550"/>
      <c r="T1805" s="547"/>
      <c r="U1805" s="547"/>
      <c r="V1805" s="547"/>
      <c r="W1805" s="549"/>
    </row>
    <row r="1806" spans="1:23">
      <c r="A1806" s="565">
        <v>2500</v>
      </c>
      <c r="B1806" s="696" t="s">
        <v>7212</v>
      </c>
      <c r="C1806" s="566">
        <f t="shared" si="28"/>
        <v>2500</v>
      </c>
      <c r="D1806" s="700" t="s">
        <v>2238</v>
      </c>
      <c r="E1806" s="701" t="s">
        <v>9681</v>
      </c>
      <c r="F1806" s="566">
        <v>1</v>
      </c>
      <c r="G1806" s="662">
        <v>0</v>
      </c>
      <c r="H1806" s="662">
        <v>11656.087824672637</v>
      </c>
      <c r="I1806" s="662">
        <v>11944.76731240731</v>
      </c>
      <c r="J1806" s="662">
        <v>12248.665609249605</v>
      </c>
      <c r="K1806" s="566" t="s">
        <v>3195</v>
      </c>
      <c r="L1806" s="549"/>
      <c r="M1806" s="540"/>
      <c r="O1806" s="540"/>
      <c r="S1806" s="550"/>
      <c r="T1806" s="547"/>
      <c r="U1806" s="547"/>
      <c r="V1806" s="547"/>
      <c r="W1806" s="549"/>
    </row>
    <row r="1807" spans="1:23">
      <c r="A1807" s="565">
        <v>2501</v>
      </c>
      <c r="B1807" s="695" t="s">
        <v>7213</v>
      </c>
      <c r="C1807" s="566">
        <f t="shared" si="28"/>
        <v>2501</v>
      </c>
      <c r="D1807" s="699" t="s">
        <v>2238</v>
      </c>
      <c r="E1807" s="701" t="s">
        <v>9682</v>
      </c>
      <c r="F1807" s="567">
        <v>1</v>
      </c>
      <c r="G1807" s="662">
        <v>19652.663595121998</v>
      </c>
      <c r="H1807" s="662">
        <v>0</v>
      </c>
      <c r="I1807" s="662">
        <v>0</v>
      </c>
      <c r="J1807" s="662">
        <v>0</v>
      </c>
      <c r="K1807" s="568" t="s">
        <v>5329</v>
      </c>
      <c r="L1807" s="549"/>
      <c r="M1807" s="540"/>
      <c r="O1807" s="540"/>
      <c r="S1807" s="550"/>
      <c r="T1807" s="547"/>
      <c r="U1807" s="547"/>
      <c r="V1807" s="547"/>
      <c r="W1807" s="549"/>
    </row>
    <row r="1808" spans="1:23">
      <c r="A1808" s="565">
        <v>2502</v>
      </c>
      <c r="B1808" s="695" t="s">
        <v>7214</v>
      </c>
      <c r="C1808" s="566">
        <f t="shared" si="28"/>
        <v>2502</v>
      </c>
      <c r="D1808" s="699" t="s">
        <v>2238</v>
      </c>
      <c r="E1808" s="701" t="s">
        <v>9683</v>
      </c>
      <c r="F1808" s="567">
        <v>1</v>
      </c>
      <c r="G1808" s="662">
        <v>0</v>
      </c>
      <c r="H1808" s="662">
        <v>19571.453152960781</v>
      </c>
      <c r="I1808" s="662">
        <v>20251.109664663825</v>
      </c>
      <c r="J1808" s="662">
        <v>20966.553342946441</v>
      </c>
      <c r="K1808" s="568" t="s">
        <v>3196</v>
      </c>
      <c r="L1808" s="549"/>
      <c r="M1808" s="540"/>
      <c r="O1808" s="540"/>
      <c r="S1808" s="550"/>
      <c r="T1808" s="547"/>
      <c r="U1808" s="547"/>
      <c r="V1808" s="547"/>
      <c r="W1808" s="549"/>
    </row>
    <row r="1809" spans="1:23">
      <c r="A1809" s="565">
        <v>2503</v>
      </c>
      <c r="B1809" s="695" t="s">
        <v>7215</v>
      </c>
      <c r="C1809" s="566">
        <f t="shared" si="28"/>
        <v>2503</v>
      </c>
      <c r="D1809" s="699" t="s">
        <v>2238</v>
      </c>
      <c r="E1809" s="701" t="s">
        <v>9684</v>
      </c>
      <c r="F1809" s="567">
        <v>1</v>
      </c>
      <c r="G1809" s="662">
        <v>0</v>
      </c>
      <c r="H1809" s="662">
        <v>20448.057851553654</v>
      </c>
      <c r="I1809" s="662">
        <v>21162.217301370492</v>
      </c>
      <c r="J1809" s="662">
        <v>21913.961837618979</v>
      </c>
      <c r="K1809" s="568" t="s">
        <v>3197</v>
      </c>
      <c r="L1809" s="549"/>
      <c r="M1809" s="540"/>
      <c r="O1809" s="540"/>
      <c r="S1809" s="550"/>
      <c r="T1809" s="547"/>
      <c r="U1809" s="547"/>
      <c r="V1809" s="547"/>
      <c r="W1809" s="549"/>
    </row>
    <row r="1810" spans="1:23">
      <c r="A1810" s="565">
        <v>2504</v>
      </c>
      <c r="B1810" s="696" t="s">
        <v>7216</v>
      </c>
      <c r="C1810" s="566">
        <f t="shared" si="28"/>
        <v>2504</v>
      </c>
      <c r="D1810" s="700" t="s">
        <v>2238</v>
      </c>
      <c r="E1810" s="701" t="s">
        <v>9685</v>
      </c>
      <c r="F1810" s="566">
        <v>1</v>
      </c>
      <c r="G1810" s="662">
        <v>0</v>
      </c>
      <c r="H1810" s="662">
        <v>0</v>
      </c>
      <c r="I1810" s="662">
        <v>0</v>
      </c>
      <c r="J1810" s="662">
        <v>22144.545768242231</v>
      </c>
      <c r="K1810" s="566" t="s">
        <v>4904</v>
      </c>
      <c r="L1810" s="549"/>
      <c r="M1810" s="540"/>
      <c r="O1810" s="540"/>
      <c r="S1810" s="550"/>
      <c r="T1810" s="547"/>
      <c r="U1810" s="547"/>
      <c r="V1810" s="547"/>
      <c r="W1810" s="549"/>
    </row>
    <row r="1811" spans="1:23">
      <c r="A1811" s="565">
        <v>2505</v>
      </c>
      <c r="B1811" s="696" t="s">
        <v>7217</v>
      </c>
      <c r="C1811" s="566">
        <f t="shared" si="28"/>
        <v>2505</v>
      </c>
      <c r="D1811" s="700" t="s">
        <v>2238</v>
      </c>
      <c r="E1811" s="701" t="s">
        <v>9686</v>
      </c>
      <c r="F1811" s="566">
        <v>1</v>
      </c>
      <c r="G1811" s="662">
        <v>0</v>
      </c>
      <c r="H1811" s="662">
        <v>22325.023206187823</v>
      </c>
      <c r="I1811" s="662">
        <v>23112.982985171133</v>
      </c>
      <c r="J1811" s="662">
        <v>23942.423343598934</v>
      </c>
      <c r="K1811" s="566" t="s">
        <v>3198</v>
      </c>
      <c r="L1811" s="549"/>
      <c r="M1811" s="540"/>
      <c r="O1811" s="540"/>
      <c r="S1811" s="550"/>
      <c r="T1811" s="547"/>
      <c r="U1811" s="547"/>
      <c r="V1811" s="547"/>
      <c r="W1811" s="549"/>
    </row>
    <row r="1812" spans="1:23">
      <c r="A1812" s="565">
        <v>2506</v>
      </c>
      <c r="B1812" s="695" t="s">
        <v>7218</v>
      </c>
      <c r="C1812" s="566">
        <f t="shared" si="28"/>
        <v>2506</v>
      </c>
      <c r="D1812" s="699" t="s">
        <v>2238</v>
      </c>
      <c r="E1812" s="701" t="s">
        <v>9687</v>
      </c>
      <c r="F1812" s="567">
        <v>1</v>
      </c>
      <c r="G1812" s="662">
        <v>16243.392626230814</v>
      </c>
      <c r="H1812" s="662">
        <v>0</v>
      </c>
      <c r="I1812" s="662">
        <v>0</v>
      </c>
      <c r="J1812" s="662">
        <v>0</v>
      </c>
      <c r="K1812" s="568" t="s">
        <v>5330</v>
      </c>
      <c r="L1812" s="549"/>
      <c r="M1812" s="540"/>
      <c r="O1812" s="540"/>
      <c r="S1812" s="550"/>
      <c r="T1812" s="547"/>
      <c r="U1812" s="547"/>
      <c r="V1812" s="547"/>
      <c r="W1812" s="549"/>
    </row>
    <row r="1813" spans="1:23">
      <c r="A1813" s="565">
        <v>2507</v>
      </c>
      <c r="B1813" s="695" t="s">
        <v>7219</v>
      </c>
      <c r="C1813" s="566">
        <f t="shared" si="28"/>
        <v>2507</v>
      </c>
      <c r="D1813" s="699" t="s">
        <v>2238</v>
      </c>
      <c r="E1813" s="701" t="s">
        <v>9688</v>
      </c>
      <c r="F1813" s="567">
        <v>1</v>
      </c>
      <c r="G1813" s="662">
        <v>0</v>
      </c>
      <c r="H1813" s="662">
        <v>18081.225165352884</v>
      </c>
      <c r="I1813" s="662">
        <v>18702.278051401121</v>
      </c>
      <c r="J1813" s="662">
        <v>19356.035955711064</v>
      </c>
      <c r="K1813" s="568" t="s">
        <v>3199</v>
      </c>
      <c r="L1813" s="549"/>
      <c r="M1813" s="540"/>
      <c r="O1813" s="540"/>
      <c r="S1813" s="550"/>
      <c r="T1813" s="547"/>
      <c r="U1813" s="547"/>
      <c r="V1813" s="547"/>
      <c r="W1813" s="549"/>
    </row>
    <row r="1814" spans="1:23">
      <c r="A1814" s="565">
        <v>2508</v>
      </c>
      <c r="B1814" s="696" t="s">
        <v>7220</v>
      </c>
      <c r="C1814" s="566">
        <f t="shared" si="28"/>
        <v>2508</v>
      </c>
      <c r="D1814" s="700" t="s">
        <v>2238</v>
      </c>
      <c r="E1814" s="701" t="s">
        <v>9689</v>
      </c>
      <c r="F1814" s="566">
        <v>1</v>
      </c>
      <c r="G1814" s="662">
        <v>17457.255713962091</v>
      </c>
      <c r="H1814" s="662">
        <v>0</v>
      </c>
      <c r="I1814" s="662">
        <v>0</v>
      </c>
      <c r="J1814" s="662">
        <v>0</v>
      </c>
      <c r="K1814" s="566" t="s">
        <v>5331</v>
      </c>
      <c r="L1814" s="549"/>
      <c r="M1814" s="540"/>
      <c r="O1814" s="540"/>
      <c r="S1814" s="550"/>
      <c r="T1814" s="547"/>
      <c r="U1814" s="547"/>
      <c r="V1814" s="547"/>
      <c r="W1814" s="549"/>
    </row>
    <row r="1815" spans="1:23">
      <c r="A1815" s="565">
        <v>2509</v>
      </c>
      <c r="B1815" s="696" t="s">
        <v>7221</v>
      </c>
      <c r="C1815" s="566">
        <f t="shared" si="28"/>
        <v>2509</v>
      </c>
      <c r="D1815" s="700" t="s">
        <v>2238</v>
      </c>
      <c r="E1815" s="701" t="s">
        <v>9690</v>
      </c>
      <c r="F1815" s="566">
        <v>1</v>
      </c>
      <c r="G1815" s="662">
        <v>18183.250383657825</v>
      </c>
      <c r="H1815" s="662">
        <v>0</v>
      </c>
      <c r="I1815" s="662">
        <v>0</v>
      </c>
      <c r="J1815" s="662">
        <v>0</v>
      </c>
      <c r="K1815" s="566" t="s">
        <v>5332</v>
      </c>
      <c r="L1815" s="549"/>
      <c r="M1815" s="540"/>
      <c r="O1815" s="540"/>
      <c r="S1815" s="550"/>
      <c r="T1815" s="547"/>
      <c r="U1815" s="547"/>
      <c r="V1815" s="547"/>
      <c r="W1815" s="549"/>
    </row>
    <row r="1816" spans="1:23">
      <c r="A1816" s="565">
        <v>2510</v>
      </c>
      <c r="B1816" s="696" t="s">
        <v>7222</v>
      </c>
      <c r="C1816" s="566">
        <f t="shared" si="28"/>
        <v>2510</v>
      </c>
      <c r="D1816" s="700" t="s">
        <v>2239</v>
      </c>
      <c r="E1816" s="701" t="s">
        <v>9691</v>
      </c>
      <c r="F1816" s="566">
        <v>1</v>
      </c>
      <c r="G1816" s="662">
        <v>0</v>
      </c>
      <c r="H1816" s="662">
        <v>0</v>
      </c>
      <c r="I1816" s="662">
        <v>0</v>
      </c>
      <c r="J1816" s="662">
        <v>17447.517761504718</v>
      </c>
      <c r="K1816" s="566" t="s">
        <v>4905</v>
      </c>
      <c r="L1816" s="549"/>
      <c r="M1816" s="540"/>
      <c r="O1816" s="540"/>
      <c r="S1816" s="550"/>
      <c r="T1816" s="547"/>
      <c r="U1816" s="547"/>
      <c r="V1816" s="547"/>
      <c r="W1816" s="549"/>
    </row>
    <row r="1817" spans="1:23">
      <c r="A1817" s="565">
        <v>2511</v>
      </c>
      <c r="B1817" s="696" t="s">
        <v>7223</v>
      </c>
      <c r="C1817" s="566">
        <f t="shared" si="28"/>
        <v>2511</v>
      </c>
      <c r="D1817" s="700" t="s">
        <v>2239</v>
      </c>
      <c r="E1817" s="701" t="s">
        <v>9692</v>
      </c>
      <c r="F1817" s="566">
        <v>1</v>
      </c>
      <c r="G1817" s="662">
        <v>0</v>
      </c>
      <c r="H1817" s="662">
        <v>15472.854905211656</v>
      </c>
      <c r="I1817" s="662">
        <v>15825.187734764706</v>
      </c>
      <c r="J1817" s="662">
        <v>16196.083276386336</v>
      </c>
      <c r="K1817" s="566" t="s">
        <v>3200</v>
      </c>
      <c r="L1817" s="549"/>
      <c r="M1817" s="540"/>
      <c r="O1817" s="540"/>
      <c r="S1817" s="550"/>
      <c r="T1817" s="547"/>
      <c r="U1817" s="547"/>
      <c r="V1817" s="547"/>
      <c r="W1817" s="549"/>
    </row>
    <row r="1818" spans="1:23">
      <c r="A1818" s="565">
        <v>2512</v>
      </c>
      <c r="B1818" s="696" t="s">
        <v>7224</v>
      </c>
      <c r="C1818" s="566">
        <f t="shared" si="28"/>
        <v>2512</v>
      </c>
      <c r="D1818" s="700" t="s">
        <v>2239</v>
      </c>
      <c r="E1818" s="701" t="s">
        <v>9693</v>
      </c>
      <c r="F1818" s="566">
        <v>1</v>
      </c>
      <c r="G1818" s="662">
        <v>0</v>
      </c>
      <c r="H1818" s="662">
        <v>16585.596154934163</v>
      </c>
      <c r="I1818" s="662">
        <v>16967.656226278214</v>
      </c>
      <c r="J1818" s="662">
        <v>17369.848321097601</v>
      </c>
      <c r="K1818" s="566" t="s">
        <v>3201</v>
      </c>
      <c r="L1818" s="549"/>
      <c r="M1818" s="540"/>
      <c r="O1818" s="540"/>
      <c r="S1818" s="550"/>
      <c r="T1818" s="547"/>
      <c r="U1818" s="547"/>
      <c r="V1818" s="547"/>
      <c r="W1818" s="549"/>
    </row>
    <row r="1819" spans="1:23">
      <c r="A1819" s="565">
        <v>2513</v>
      </c>
      <c r="B1819" s="696" t="s">
        <v>7225</v>
      </c>
      <c r="C1819" s="566">
        <f t="shared" si="28"/>
        <v>2513</v>
      </c>
      <c r="D1819" s="700" t="s">
        <v>2239</v>
      </c>
      <c r="E1819" s="701" t="s">
        <v>9694</v>
      </c>
      <c r="F1819" s="566">
        <v>1</v>
      </c>
      <c r="G1819" s="662">
        <v>0</v>
      </c>
      <c r="H1819" s="662">
        <v>0</v>
      </c>
      <c r="I1819" s="662">
        <v>29700.04659809222</v>
      </c>
      <c r="J1819" s="662">
        <v>30432.556325301193</v>
      </c>
      <c r="K1819" s="566" t="s">
        <v>4151</v>
      </c>
      <c r="L1819" s="549"/>
      <c r="M1819" s="540"/>
      <c r="O1819" s="540"/>
      <c r="S1819" s="550"/>
      <c r="T1819" s="547"/>
      <c r="U1819" s="547"/>
      <c r="V1819" s="547"/>
      <c r="W1819" s="549"/>
    </row>
    <row r="1820" spans="1:23">
      <c r="A1820" s="565">
        <v>2514</v>
      </c>
      <c r="B1820" s="696" t="s">
        <v>7226</v>
      </c>
      <c r="C1820" s="566">
        <f t="shared" si="28"/>
        <v>2514</v>
      </c>
      <c r="D1820" s="700" t="s">
        <v>2239</v>
      </c>
      <c r="E1820" s="701" t="s">
        <v>9695</v>
      </c>
      <c r="F1820" s="566">
        <v>1</v>
      </c>
      <c r="G1820" s="662">
        <v>0</v>
      </c>
      <c r="H1820" s="662">
        <v>0</v>
      </c>
      <c r="I1820" s="662">
        <v>30256.417222953463</v>
      </c>
      <c r="J1820" s="662">
        <v>31003.812989792317</v>
      </c>
      <c r="K1820" s="566" t="s">
        <v>4152</v>
      </c>
      <c r="L1820" s="549"/>
      <c r="M1820" s="540"/>
      <c r="O1820" s="540"/>
      <c r="S1820" s="550"/>
      <c r="T1820" s="547"/>
      <c r="U1820" s="547"/>
      <c r="V1820" s="547"/>
      <c r="W1820" s="549"/>
    </row>
    <row r="1821" spans="1:23">
      <c r="A1821" s="565">
        <v>2515</v>
      </c>
      <c r="B1821" s="696" t="s">
        <v>7227</v>
      </c>
      <c r="C1821" s="566">
        <f t="shared" si="28"/>
        <v>2515</v>
      </c>
      <c r="D1821" s="700" t="s">
        <v>2239</v>
      </c>
      <c r="E1821" s="701" t="s">
        <v>9696</v>
      </c>
      <c r="F1821" s="566">
        <v>1</v>
      </c>
      <c r="G1821" s="662">
        <v>27235.690045833984</v>
      </c>
      <c r="H1821" s="662">
        <v>27953.806945569479</v>
      </c>
      <c r="I1821" s="662">
        <v>0</v>
      </c>
      <c r="J1821" s="662">
        <v>0</v>
      </c>
      <c r="K1821" s="566" t="s">
        <v>3202</v>
      </c>
      <c r="L1821" s="549"/>
      <c r="M1821" s="540"/>
      <c r="O1821" s="540"/>
      <c r="S1821" s="550"/>
      <c r="T1821" s="547"/>
      <c r="U1821" s="547"/>
      <c r="V1821" s="547"/>
      <c r="W1821" s="549"/>
    </row>
    <row r="1822" spans="1:23">
      <c r="A1822" s="565">
        <v>2516</v>
      </c>
      <c r="B1822" s="696" t="s">
        <v>7228</v>
      </c>
      <c r="C1822" s="566">
        <f t="shared" si="28"/>
        <v>2516</v>
      </c>
      <c r="D1822" s="700" t="s">
        <v>2239</v>
      </c>
      <c r="E1822" s="701" t="s">
        <v>9697</v>
      </c>
      <c r="F1822" s="566">
        <v>1</v>
      </c>
      <c r="G1822" s="662">
        <v>16552.569570873267</v>
      </c>
      <c r="H1822" s="662">
        <v>0</v>
      </c>
      <c r="I1822" s="662">
        <v>0</v>
      </c>
      <c r="J1822" s="662">
        <v>0</v>
      </c>
      <c r="K1822" s="566" t="s">
        <v>5333</v>
      </c>
      <c r="L1822" s="549"/>
      <c r="M1822" s="540"/>
      <c r="O1822" s="540"/>
      <c r="S1822" s="550"/>
      <c r="T1822" s="547"/>
      <c r="U1822" s="547"/>
      <c r="V1822" s="547"/>
      <c r="W1822" s="549"/>
    </row>
    <row r="1823" spans="1:23">
      <c r="A1823" s="565">
        <v>2517</v>
      </c>
      <c r="B1823" s="696" t="s">
        <v>7229</v>
      </c>
      <c r="C1823" s="566">
        <f t="shared" si="28"/>
        <v>2517</v>
      </c>
      <c r="D1823" s="700" t="s">
        <v>2239</v>
      </c>
      <c r="E1823" s="701" t="s">
        <v>9698</v>
      </c>
      <c r="F1823" s="566">
        <v>1</v>
      </c>
      <c r="G1823" s="662">
        <v>14995.96579818773</v>
      </c>
      <c r="H1823" s="662">
        <v>0</v>
      </c>
      <c r="I1823" s="662">
        <v>0</v>
      </c>
      <c r="J1823" s="662">
        <v>0</v>
      </c>
      <c r="K1823" s="566" t="s">
        <v>5334</v>
      </c>
      <c r="L1823" s="549"/>
      <c r="M1823" s="540"/>
      <c r="O1823" s="540"/>
      <c r="S1823" s="550"/>
      <c r="T1823" s="547"/>
      <c r="U1823" s="547"/>
      <c r="V1823" s="547"/>
      <c r="W1823" s="549"/>
    </row>
    <row r="1824" spans="1:23">
      <c r="A1824" s="565">
        <v>2518</v>
      </c>
      <c r="B1824" s="695" t="s">
        <v>7230</v>
      </c>
      <c r="C1824" s="566">
        <f t="shared" si="28"/>
        <v>2518</v>
      </c>
      <c r="D1824" s="699" t="s">
        <v>2239</v>
      </c>
      <c r="E1824" s="701" t="s">
        <v>9699</v>
      </c>
      <c r="F1824" s="567">
        <v>1</v>
      </c>
      <c r="G1824" s="662">
        <v>16468.604306159476</v>
      </c>
      <c r="H1824" s="662">
        <v>16867.164566008931</v>
      </c>
      <c r="I1824" s="662">
        <v>17286.708761240261</v>
      </c>
      <c r="J1824" s="662">
        <v>17728.3578285726</v>
      </c>
      <c r="K1824" s="568" t="s">
        <v>1338</v>
      </c>
      <c r="L1824" s="549"/>
      <c r="M1824" s="540"/>
      <c r="O1824" s="540"/>
      <c r="S1824" s="550"/>
      <c r="T1824" s="547"/>
      <c r="U1824" s="547"/>
      <c r="V1824" s="547"/>
      <c r="W1824" s="549"/>
    </row>
    <row r="1825" spans="1:23">
      <c r="A1825" s="565">
        <v>2519</v>
      </c>
      <c r="B1825" s="696" t="s">
        <v>7231</v>
      </c>
      <c r="C1825" s="566">
        <f t="shared" si="28"/>
        <v>2519</v>
      </c>
      <c r="D1825" s="700" t="s">
        <v>2239</v>
      </c>
      <c r="E1825" s="701" t="s">
        <v>9700</v>
      </c>
      <c r="F1825" s="566">
        <v>1</v>
      </c>
      <c r="G1825" s="662">
        <v>15377.055864880174</v>
      </c>
      <c r="H1825" s="662">
        <v>0</v>
      </c>
      <c r="I1825" s="662">
        <v>0</v>
      </c>
      <c r="J1825" s="662">
        <v>0</v>
      </c>
      <c r="K1825" s="566" t="s">
        <v>5335</v>
      </c>
      <c r="L1825" s="549"/>
      <c r="M1825" s="540"/>
      <c r="O1825" s="540"/>
      <c r="S1825" s="550"/>
      <c r="T1825" s="547"/>
      <c r="U1825" s="547"/>
      <c r="V1825" s="547"/>
      <c r="W1825" s="549"/>
    </row>
    <row r="1826" spans="1:23">
      <c r="A1826" s="565">
        <v>2520</v>
      </c>
      <c r="B1826" s="696" t="s">
        <v>7232</v>
      </c>
      <c r="C1826" s="566">
        <f t="shared" si="28"/>
        <v>2520</v>
      </c>
      <c r="D1826" s="700" t="s">
        <v>2239</v>
      </c>
      <c r="E1826" s="701" t="s">
        <v>9701</v>
      </c>
      <c r="F1826" s="566">
        <v>1</v>
      </c>
      <c r="G1826" s="662">
        <v>14033.611629459505</v>
      </c>
      <c r="H1826" s="662">
        <v>0</v>
      </c>
      <c r="I1826" s="662">
        <v>0</v>
      </c>
      <c r="J1826" s="662">
        <v>0</v>
      </c>
      <c r="K1826" s="566" t="s">
        <v>5336</v>
      </c>
      <c r="L1826" s="549"/>
      <c r="M1826" s="540"/>
      <c r="O1826" s="540"/>
      <c r="S1826" s="550"/>
      <c r="T1826" s="547"/>
      <c r="U1826" s="547"/>
      <c r="V1826" s="547"/>
      <c r="W1826" s="549"/>
    </row>
    <row r="1827" spans="1:23">
      <c r="A1827" s="565">
        <v>2521</v>
      </c>
      <c r="B1827" s="696" t="s">
        <v>7233</v>
      </c>
      <c r="C1827" s="566">
        <f t="shared" si="28"/>
        <v>2521</v>
      </c>
      <c r="D1827" s="700" t="s">
        <v>2239</v>
      </c>
      <c r="E1827" s="701" t="s">
        <v>9702</v>
      </c>
      <c r="F1827" s="566">
        <v>1</v>
      </c>
      <c r="G1827" s="662">
        <v>14453.437953028464</v>
      </c>
      <c r="H1827" s="662">
        <v>0</v>
      </c>
      <c r="I1827" s="662">
        <v>0</v>
      </c>
      <c r="J1827" s="662">
        <v>0</v>
      </c>
      <c r="K1827" s="566" t="s">
        <v>5337</v>
      </c>
      <c r="L1827" s="549"/>
      <c r="M1827" s="540"/>
      <c r="O1827" s="540"/>
      <c r="S1827" s="550"/>
      <c r="T1827" s="547"/>
      <c r="U1827" s="547"/>
      <c r="V1827" s="547"/>
      <c r="W1827" s="549"/>
    </row>
    <row r="1828" spans="1:23">
      <c r="A1828" s="565">
        <v>2522</v>
      </c>
      <c r="B1828" s="695" t="s">
        <v>7234</v>
      </c>
      <c r="C1828" s="566">
        <f t="shared" si="28"/>
        <v>2522</v>
      </c>
      <c r="D1828" s="699" t="s">
        <v>2239</v>
      </c>
      <c r="E1828" s="701" t="s">
        <v>9703</v>
      </c>
      <c r="F1828" s="567">
        <v>1</v>
      </c>
      <c r="G1828" s="662">
        <v>0</v>
      </c>
      <c r="H1828" s="662">
        <v>19208.486243565778</v>
      </c>
      <c r="I1828" s="662">
        <v>0</v>
      </c>
      <c r="J1828" s="662">
        <v>0</v>
      </c>
      <c r="K1828" s="568" t="s">
        <v>3203</v>
      </c>
      <c r="L1828" s="549"/>
      <c r="M1828" s="540"/>
      <c r="O1828" s="540"/>
      <c r="S1828" s="550"/>
      <c r="T1828" s="547"/>
      <c r="U1828" s="547"/>
      <c r="V1828" s="547"/>
      <c r="W1828" s="549"/>
    </row>
    <row r="1829" spans="1:23">
      <c r="A1829" s="565">
        <v>2523</v>
      </c>
      <c r="B1829" s="696" t="s">
        <v>7235</v>
      </c>
      <c r="C1829" s="566">
        <f t="shared" si="28"/>
        <v>2523</v>
      </c>
      <c r="D1829" s="700" t="s">
        <v>2239</v>
      </c>
      <c r="E1829" s="701" t="s">
        <v>9704</v>
      </c>
      <c r="F1829" s="566">
        <v>1</v>
      </c>
      <c r="G1829" s="662">
        <v>0</v>
      </c>
      <c r="H1829" s="662">
        <v>0</v>
      </c>
      <c r="I1829" s="662">
        <v>19844.33838626435</v>
      </c>
      <c r="J1829" s="662">
        <v>20313.517659418208</v>
      </c>
      <c r="K1829" s="566" t="s">
        <v>4153</v>
      </c>
      <c r="L1829" s="549"/>
      <c r="M1829" s="540"/>
      <c r="O1829" s="540"/>
      <c r="S1829" s="550"/>
      <c r="T1829" s="547"/>
      <c r="U1829" s="547"/>
      <c r="V1829" s="547"/>
      <c r="W1829" s="549"/>
    </row>
    <row r="1830" spans="1:23">
      <c r="A1830" s="565">
        <v>2524</v>
      </c>
      <c r="B1830" s="696" t="s">
        <v>7236</v>
      </c>
      <c r="C1830" s="566">
        <f t="shared" si="28"/>
        <v>2524</v>
      </c>
      <c r="D1830" s="700" t="s">
        <v>2239</v>
      </c>
      <c r="E1830" s="701" t="s">
        <v>9705</v>
      </c>
      <c r="F1830" s="566">
        <v>1</v>
      </c>
      <c r="G1830" s="662">
        <v>24589.184575099462</v>
      </c>
      <c r="H1830" s="662">
        <v>0</v>
      </c>
      <c r="I1830" s="662">
        <v>0</v>
      </c>
      <c r="J1830" s="662">
        <v>0</v>
      </c>
      <c r="K1830" s="566" t="s">
        <v>5338</v>
      </c>
      <c r="L1830" s="549"/>
      <c r="M1830" s="540"/>
      <c r="O1830" s="540"/>
      <c r="S1830" s="550"/>
      <c r="T1830" s="547"/>
      <c r="U1830" s="547"/>
      <c r="V1830" s="547"/>
      <c r="W1830" s="549"/>
    </row>
    <row r="1831" spans="1:23">
      <c r="A1831" s="565">
        <v>2525</v>
      </c>
      <c r="B1831" s="696" t="s">
        <v>7237</v>
      </c>
      <c r="C1831" s="566">
        <f t="shared" si="28"/>
        <v>2525</v>
      </c>
      <c r="D1831" s="700" t="s">
        <v>2239</v>
      </c>
      <c r="E1831" s="701" t="s">
        <v>9706</v>
      </c>
      <c r="F1831" s="566">
        <v>1</v>
      </c>
      <c r="G1831" s="662">
        <v>18483.77065929048</v>
      </c>
      <c r="H1831" s="662">
        <v>0</v>
      </c>
      <c r="I1831" s="662">
        <v>0</v>
      </c>
      <c r="J1831" s="662">
        <v>0</v>
      </c>
      <c r="K1831" s="566" t="s">
        <v>5339</v>
      </c>
      <c r="L1831" s="549"/>
      <c r="M1831" s="540"/>
      <c r="O1831" s="540"/>
      <c r="S1831" s="550"/>
      <c r="T1831" s="547"/>
      <c r="U1831" s="547"/>
      <c r="V1831" s="547"/>
      <c r="W1831" s="549"/>
    </row>
    <row r="1832" spans="1:23">
      <c r="A1832" s="565">
        <v>2526</v>
      </c>
      <c r="B1832" s="696" t="s">
        <v>7238</v>
      </c>
      <c r="C1832" s="566">
        <f t="shared" si="28"/>
        <v>2526</v>
      </c>
      <c r="D1832" s="700" t="s">
        <v>2239</v>
      </c>
      <c r="E1832" s="701" t="s">
        <v>9707</v>
      </c>
      <c r="F1832" s="566">
        <v>1</v>
      </c>
      <c r="G1832" s="662">
        <v>17392.222218011186</v>
      </c>
      <c r="H1832" s="662">
        <v>0</v>
      </c>
      <c r="I1832" s="662">
        <v>0</v>
      </c>
      <c r="J1832" s="662">
        <v>0</v>
      </c>
      <c r="K1832" s="566" t="s">
        <v>5340</v>
      </c>
      <c r="L1832" s="549"/>
      <c r="M1832" s="540"/>
      <c r="O1832" s="540"/>
      <c r="S1832" s="550"/>
      <c r="T1832" s="547"/>
      <c r="U1832" s="547"/>
      <c r="V1832" s="547"/>
      <c r="W1832" s="549"/>
    </row>
    <row r="1833" spans="1:23">
      <c r="A1833" s="565">
        <v>2527</v>
      </c>
      <c r="B1833" s="696" t="s">
        <v>7239</v>
      </c>
      <c r="C1833" s="566">
        <f t="shared" si="28"/>
        <v>2527</v>
      </c>
      <c r="D1833" s="700" t="s">
        <v>2239</v>
      </c>
      <c r="E1833" s="701" t="s">
        <v>9708</v>
      </c>
      <c r="F1833" s="566">
        <v>1</v>
      </c>
      <c r="G1833" s="662">
        <v>16216.708512018098</v>
      </c>
      <c r="H1833" s="662">
        <v>0</v>
      </c>
      <c r="I1833" s="662">
        <v>0</v>
      </c>
      <c r="J1833" s="662">
        <v>0</v>
      </c>
      <c r="K1833" s="566" t="s">
        <v>5341</v>
      </c>
      <c r="L1833" s="549"/>
      <c r="M1833" s="540"/>
      <c r="O1833" s="540"/>
      <c r="S1833" s="550"/>
      <c r="T1833" s="547"/>
      <c r="U1833" s="547"/>
      <c r="V1833" s="547"/>
      <c r="W1833" s="549"/>
    </row>
    <row r="1834" spans="1:23">
      <c r="A1834" s="565">
        <v>2528</v>
      </c>
      <c r="B1834" s="696" t="s">
        <v>7240</v>
      </c>
      <c r="C1834" s="566">
        <f t="shared" si="28"/>
        <v>2528</v>
      </c>
      <c r="D1834" s="700" t="s">
        <v>2239</v>
      </c>
      <c r="E1834" s="701" t="s">
        <v>9709</v>
      </c>
      <c r="F1834" s="566">
        <v>1</v>
      </c>
      <c r="G1834" s="662">
        <v>0</v>
      </c>
      <c r="H1834" s="662">
        <v>0</v>
      </c>
      <c r="I1834" s="662">
        <v>0</v>
      </c>
      <c r="J1834" s="662">
        <v>19047.699152840905</v>
      </c>
      <c r="K1834" s="566" t="s">
        <v>4906</v>
      </c>
      <c r="L1834" s="549"/>
      <c r="M1834" s="540"/>
      <c r="O1834" s="540"/>
      <c r="S1834" s="550"/>
      <c r="T1834" s="547"/>
      <c r="U1834" s="547"/>
      <c r="V1834" s="547"/>
      <c r="W1834" s="549"/>
    </row>
    <row r="1835" spans="1:23">
      <c r="A1835" s="565">
        <v>2529</v>
      </c>
      <c r="B1835" s="696" t="s">
        <v>7241</v>
      </c>
      <c r="C1835" s="566">
        <f t="shared" si="28"/>
        <v>2529</v>
      </c>
      <c r="D1835" s="700" t="s">
        <v>2239</v>
      </c>
      <c r="E1835" s="701" t="s">
        <v>9710</v>
      </c>
      <c r="F1835" s="566">
        <v>1</v>
      </c>
      <c r="G1835" s="662">
        <v>0</v>
      </c>
      <c r="H1835" s="662">
        <v>0</v>
      </c>
      <c r="I1835" s="662">
        <v>0</v>
      </c>
      <c r="J1835" s="662">
        <v>20233.407049737172</v>
      </c>
      <c r="K1835" s="566" t="s">
        <v>4907</v>
      </c>
      <c r="L1835" s="549"/>
      <c r="M1835" s="540"/>
      <c r="O1835" s="540"/>
      <c r="S1835" s="550"/>
      <c r="T1835" s="547"/>
      <c r="U1835" s="547"/>
      <c r="V1835" s="547"/>
      <c r="W1835" s="549"/>
    </row>
    <row r="1836" spans="1:23">
      <c r="A1836" s="565">
        <v>2530</v>
      </c>
      <c r="B1836" s="696" t="s">
        <v>7242</v>
      </c>
      <c r="C1836" s="566">
        <f t="shared" si="28"/>
        <v>2530</v>
      </c>
      <c r="D1836" s="700" t="s">
        <v>2239</v>
      </c>
      <c r="E1836" s="701" t="s">
        <v>9711</v>
      </c>
      <c r="F1836" s="566">
        <v>1</v>
      </c>
      <c r="G1836" s="662">
        <v>0</v>
      </c>
      <c r="H1836" s="662">
        <v>0</v>
      </c>
      <c r="I1836" s="662">
        <v>0</v>
      </c>
      <c r="J1836" s="662">
        <v>20233.407049737172</v>
      </c>
      <c r="K1836" s="566" t="s">
        <v>4908</v>
      </c>
      <c r="L1836" s="549"/>
      <c r="M1836" s="540"/>
      <c r="O1836" s="540"/>
      <c r="S1836" s="550"/>
      <c r="T1836" s="547"/>
      <c r="U1836" s="547"/>
      <c r="V1836" s="547"/>
      <c r="W1836" s="549"/>
    </row>
    <row r="1837" spans="1:23">
      <c r="A1837" s="565">
        <v>2531</v>
      </c>
      <c r="B1837" s="696" t="s">
        <v>7243</v>
      </c>
      <c r="C1837" s="566">
        <f t="shared" si="28"/>
        <v>2531</v>
      </c>
      <c r="D1837" s="700" t="s">
        <v>2239</v>
      </c>
      <c r="E1837" s="701" t="s">
        <v>9712</v>
      </c>
      <c r="F1837" s="566">
        <v>1</v>
      </c>
      <c r="G1837" s="662">
        <v>0</v>
      </c>
      <c r="H1837" s="662">
        <v>0</v>
      </c>
      <c r="I1837" s="662">
        <v>0</v>
      </c>
      <c r="J1837" s="662">
        <v>22096.662316288464</v>
      </c>
      <c r="K1837" s="566" t="s">
        <v>4909</v>
      </c>
      <c r="L1837" s="549"/>
      <c r="M1837" s="540"/>
      <c r="O1837" s="540"/>
      <c r="S1837" s="550"/>
      <c r="T1837" s="547"/>
      <c r="U1837" s="547"/>
      <c r="V1837" s="547"/>
      <c r="W1837" s="549"/>
    </row>
    <row r="1838" spans="1:23">
      <c r="A1838" s="565">
        <v>2532</v>
      </c>
      <c r="B1838" s="696" t="s">
        <v>7244</v>
      </c>
      <c r="C1838" s="566">
        <f t="shared" si="28"/>
        <v>2532</v>
      </c>
      <c r="D1838" s="700" t="s">
        <v>2239</v>
      </c>
      <c r="E1838" s="701" t="s">
        <v>9713</v>
      </c>
      <c r="F1838" s="566">
        <v>1</v>
      </c>
      <c r="G1838" s="662">
        <v>0</v>
      </c>
      <c r="H1838" s="662">
        <v>0</v>
      </c>
      <c r="I1838" s="662">
        <v>0</v>
      </c>
      <c r="J1838" s="662">
        <v>21503.808367840327</v>
      </c>
      <c r="K1838" s="566" t="s">
        <v>4910</v>
      </c>
      <c r="L1838" s="549"/>
      <c r="M1838" s="540"/>
      <c r="O1838" s="540"/>
      <c r="S1838" s="550"/>
      <c r="T1838" s="547"/>
      <c r="U1838" s="547"/>
      <c r="V1838" s="547"/>
      <c r="W1838" s="549"/>
    </row>
    <row r="1839" spans="1:23">
      <c r="A1839" s="565">
        <v>2533</v>
      </c>
      <c r="B1839" s="696" t="s">
        <v>7245</v>
      </c>
      <c r="C1839" s="566">
        <f t="shared" si="28"/>
        <v>2533</v>
      </c>
      <c r="D1839" s="700" t="s">
        <v>2239</v>
      </c>
      <c r="E1839" s="701" t="s">
        <v>9714</v>
      </c>
      <c r="F1839" s="566">
        <v>1</v>
      </c>
      <c r="G1839" s="662">
        <v>0</v>
      </c>
      <c r="H1839" s="662">
        <v>0</v>
      </c>
      <c r="I1839" s="662">
        <v>0</v>
      </c>
      <c r="J1839" s="662">
        <v>24722.158373701644</v>
      </c>
      <c r="K1839" s="566" t="s">
        <v>4911</v>
      </c>
      <c r="L1839" s="549"/>
      <c r="M1839" s="540"/>
      <c r="O1839" s="540"/>
      <c r="S1839" s="550"/>
      <c r="T1839" s="547"/>
      <c r="U1839" s="547"/>
      <c r="V1839" s="547"/>
      <c r="W1839" s="549"/>
    </row>
    <row r="1840" spans="1:23">
      <c r="A1840" s="565">
        <v>2534</v>
      </c>
      <c r="B1840" s="696" t="s">
        <v>7246</v>
      </c>
      <c r="C1840" s="566">
        <f t="shared" si="28"/>
        <v>2534</v>
      </c>
      <c r="D1840" s="700" t="s">
        <v>2239</v>
      </c>
      <c r="E1840" s="701" t="s">
        <v>9715</v>
      </c>
      <c r="F1840" s="566">
        <v>1</v>
      </c>
      <c r="G1840" s="662">
        <v>0</v>
      </c>
      <c r="H1840" s="662">
        <v>0</v>
      </c>
      <c r="I1840" s="662">
        <v>0</v>
      </c>
      <c r="J1840" s="662">
        <v>22774.209685943479</v>
      </c>
      <c r="K1840" s="566" t="s">
        <v>4912</v>
      </c>
      <c r="L1840" s="549"/>
      <c r="M1840" s="540"/>
      <c r="O1840" s="540"/>
      <c r="S1840" s="550"/>
      <c r="T1840" s="547"/>
      <c r="U1840" s="547"/>
      <c r="V1840" s="547"/>
      <c r="W1840" s="549"/>
    </row>
    <row r="1841" spans="1:23">
      <c r="A1841" s="565">
        <v>2535</v>
      </c>
      <c r="B1841" s="696" t="s">
        <v>7247</v>
      </c>
      <c r="C1841" s="566">
        <f t="shared" si="28"/>
        <v>2535</v>
      </c>
      <c r="D1841" s="700" t="s">
        <v>2239</v>
      </c>
      <c r="E1841" s="701" t="s">
        <v>9716</v>
      </c>
      <c r="F1841" s="566">
        <v>1</v>
      </c>
      <c r="G1841" s="662">
        <v>0</v>
      </c>
      <c r="H1841" s="662">
        <v>0</v>
      </c>
      <c r="I1841" s="662">
        <v>0</v>
      </c>
      <c r="J1841" s="662">
        <v>23451.757055598493</v>
      </c>
      <c r="K1841" s="566" t="s">
        <v>4913</v>
      </c>
      <c r="L1841" s="549"/>
      <c r="M1841" s="540"/>
      <c r="O1841" s="540"/>
      <c r="S1841" s="550"/>
      <c r="T1841" s="547"/>
      <c r="U1841" s="547"/>
      <c r="V1841" s="547"/>
      <c r="W1841" s="549"/>
    </row>
    <row r="1842" spans="1:23">
      <c r="A1842" s="565">
        <v>2536</v>
      </c>
      <c r="B1842" s="696" t="s">
        <v>7248</v>
      </c>
      <c r="C1842" s="566">
        <f t="shared" si="28"/>
        <v>2536</v>
      </c>
      <c r="D1842" s="700" t="s">
        <v>2239</v>
      </c>
      <c r="E1842" s="701" t="s">
        <v>9717</v>
      </c>
      <c r="F1842" s="566">
        <v>1</v>
      </c>
      <c r="G1842" s="662">
        <v>0</v>
      </c>
      <c r="H1842" s="662">
        <v>0</v>
      </c>
      <c r="I1842" s="662">
        <v>0</v>
      </c>
      <c r="J1842" s="662">
        <v>30650.697858183001</v>
      </c>
      <c r="K1842" s="566" t="s">
        <v>4914</v>
      </c>
      <c r="L1842" s="549"/>
      <c r="M1842" s="540"/>
      <c r="O1842" s="540"/>
      <c r="S1842" s="550"/>
      <c r="T1842" s="547"/>
      <c r="U1842" s="547"/>
      <c r="V1842" s="547"/>
      <c r="W1842" s="549"/>
    </row>
    <row r="1843" spans="1:23">
      <c r="A1843" s="565">
        <v>2537</v>
      </c>
      <c r="B1843" s="696" t="s">
        <v>7249</v>
      </c>
      <c r="C1843" s="566">
        <f t="shared" si="28"/>
        <v>2537</v>
      </c>
      <c r="D1843" s="700" t="s">
        <v>2239</v>
      </c>
      <c r="E1843" s="701" t="s">
        <v>9718</v>
      </c>
      <c r="F1843" s="566">
        <v>1</v>
      </c>
      <c r="G1843" s="662">
        <v>0</v>
      </c>
      <c r="H1843" s="662">
        <v>0</v>
      </c>
      <c r="I1843" s="662">
        <v>28059.322374613355</v>
      </c>
      <c r="J1843" s="662">
        <v>28784.535109977289</v>
      </c>
      <c r="K1843" s="566" t="s">
        <v>4154</v>
      </c>
      <c r="L1843" s="549"/>
      <c r="M1843" s="540"/>
      <c r="O1843" s="540"/>
      <c r="S1843" s="550"/>
      <c r="T1843" s="547"/>
      <c r="U1843" s="547"/>
      <c r="V1843" s="547"/>
      <c r="W1843" s="549"/>
    </row>
    <row r="1844" spans="1:23">
      <c r="A1844" s="565">
        <v>2538</v>
      </c>
      <c r="B1844" s="696" t="s">
        <v>7250</v>
      </c>
      <c r="C1844" s="566">
        <f t="shared" si="28"/>
        <v>2538</v>
      </c>
      <c r="D1844" s="700" t="s">
        <v>2239</v>
      </c>
      <c r="E1844" s="701" t="s">
        <v>9719</v>
      </c>
      <c r="F1844" s="566">
        <v>1</v>
      </c>
      <c r="G1844" s="662">
        <v>0</v>
      </c>
      <c r="H1844" s="662">
        <v>0</v>
      </c>
      <c r="I1844" s="662">
        <v>25888.439403000753</v>
      </c>
      <c r="J1844" s="662">
        <v>26552.556139097574</v>
      </c>
      <c r="K1844" s="566" t="s">
        <v>4155</v>
      </c>
      <c r="L1844" s="549"/>
      <c r="M1844" s="540"/>
      <c r="O1844" s="540"/>
      <c r="S1844" s="550"/>
      <c r="T1844" s="547"/>
      <c r="U1844" s="547"/>
      <c r="V1844" s="547"/>
      <c r="W1844" s="549"/>
    </row>
    <row r="1845" spans="1:23">
      <c r="A1845" s="565">
        <v>2539</v>
      </c>
      <c r="B1845" s="696" t="s">
        <v>7251</v>
      </c>
      <c r="C1845" s="566">
        <f t="shared" si="28"/>
        <v>2539</v>
      </c>
      <c r="D1845" s="700" t="s">
        <v>2239</v>
      </c>
      <c r="E1845" s="701" t="s">
        <v>9720</v>
      </c>
      <c r="F1845" s="566">
        <v>1</v>
      </c>
      <c r="G1845" s="662">
        <v>0</v>
      </c>
      <c r="H1845" s="662">
        <v>0</v>
      </c>
      <c r="I1845" s="662">
        <v>27041.72098166994</v>
      </c>
      <c r="J1845" s="662">
        <v>27738.320155371839</v>
      </c>
      <c r="K1845" s="566" t="s">
        <v>4156</v>
      </c>
      <c r="L1845" s="549"/>
      <c r="M1845" s="540"/>
      <c r="O1845" s="540"/>
      <c r="S1845" s="550"/>
      <c r="T1845" s="547"/>
      <c r="U1845" s="547"/>
      <c r="V1845" s="547"/>
      <c r="W1845" s="549"/>
    </row>
    <row r="1846" spans="1:23">
      <c r="A1846" s="565">
        <v>2540</v>
      </c>
      <c r="B1846" s="696" t="s">
        <v>7252</v>
      </c>
      <c r="C1846" s="566">
        <f t="shared" si="28"/>
        <v>2540</v>
      </c>
      <c r="D1846" s="700" t="s">
        <v>2239</v>
      </c>
      <c r="E1846" s="701" t="s">
        <v>9721</v>
      </c>
      <c r="F1846" s="566">
        <v>1</v>
      </c>
      <c r="G1846" s="662">
        <v>0</v>
      </c>
      <c r="H1846" s="662">
        <v>0</v>
      </c>
      <c r="I1846" s="662">
        <v>0</v>
      </c>
      <c r="J1846" s="662">
        <v>29076.923767556749</v>
      </c>
      <c r="K1846" s="566" t="s">
        <v>4915</v>
      </c>
      <c r="L1846" s="549"/>
      <c r="M1846" s="540"/>
      <c r="O1846" s="540"/>
      <c r="S1846" s="550"/>
      <c r="T1846" s="547"/>
      <c r="U1846" s="547"/>
      <c r="V1846" s="547"/>
      <c r="W1846" s="549"/>
    </row>
    <row r="1847" spans="1:23">
      <c r="A1847" s="565">
        <v>2541</v>
      </c>
      <c r="B1847" s="696" t="s">
        <v>7253</v>
      </c>
      <c r="C1847" s="566">
        <f t="shared" si="28"/>
        <v>2541</v>
      </c>
      <c r="D1847" s="700" t="s">
        <v>2239</v>
      </c>
      <c r="E1847" s="701" t="s">
        <v>9722</v>
      </c>
      <c r="F1847" s="566">
        <v>1</v>
      </c>
      <c r="G1847" s="662">
        <v>23310.515874210792</v>
      </c>
      <c r="H1847" s="662">
        <v>23902.091186375692</v>
      </c>
      <c r="I1847" s="662">
        <v>24524.819010040246</v>
      </c>
      <c r="J1847" s="662">
        <v>25180.311376847381</v>
      </c>
      <c r="K1847" s="566" t="s">
        <v>1339</v>
      </c>
      <c r="L1847" s="549"/>
      <c r="M1847" s="540"/>
      <c r="O1847" s="540"/>
      <c r="S1847" s="550"/>
      <c r="T1847" s="547"/>
      <c r="U1847" s="547"/>
      <c r="V1847" s="547"/>
      <c r="W1847" s="549"/>
    </row>
    <row r="1848" spans="1:23">
      <c r="A1848" s="565">
        <v>2542</v>
      </c>
      <c r="B1848" s="695" t="s">
        <v>7254</v>
      </c>
      <c r="C1848" s="566">
        <f t="shared" si="28"/>
        <v>2542</v>
      </c>
      <c r="D1848" s="699" t="s">
        <v>2239</v>
      </c>
      <c r="E1848" s="701" t="s">
        <v>9723</v>
      </c>
      <c r="F1848" s="567">
        <v>1</v>
      </c>
      <c r="G1848" s="662">
        <v>0</v>
      </c>
      <c r="H1848" s="662">
        <v>0</v>
      </c>
      <c r="I1848" s="662">
        <v>0</v>
      </c>
      <c r="J1848" s="662">
        <v>12114.178581440552</v>
      </c>
      <c r="K1848" s="568" t="s">
        <v>4916</v>
      </c>
      <c r="L1848" s="549"/>
      <c r="M1848" s="540"/>
      <c r="O1848" s="540"/>
      <c r="S1848" s="550"/>
      <c r="T1848" s="547"/>
      <c r="U1848" s="547"/>
      <c r="V1848" s="547"/>
      <c r="W1848" s="549"/>
    </row>
    <row r="1849" spans="1:23">
      <c r="A1849" s="565">
        <v>2543</v>
      </c>
      <c r="B1849" s="696" t="s">
        <v>7255</v>
      </c>
      <c r="C1849" s="566">
        <f t="shared" si="28"/>
        <v>2543</v>
      </c>
      <c r="D1849" s="700" t="s">
        <v>2239</v>
      </c>
      <c r="E1849" s="701" t="s">
        <v>9724</v>
      </c>
      <c r="F1849" s="566">
        <v>1</v>
      </c>
      <c r="G1849" s="662">
        <v>0</v>
      </c>
      <c r="H1849" s="662">
        <v>0</v>
      </c>
      <c r="I1849" s="662">
        <v>12558.601757718247</v>
      </c>
      <c r="J1849" s="662">
        <v>12832.502395405687</v>
      </c>
      <c r="K1849" s="566" t="s">
        <v>4157</v>
      </c>
      <c r="L1849" s="549"/>
      <c r="M1849" s="540"/>
      <c r="O1849" s="540"/>
      <c r="S1849" s="550"/>
      <c r="T1849" s="547"/>
      <c r="U1849" s="547"/>
      <c r="V1849" s="547"/>
      <c r="W1849" s="549"/>
    </row>
    <row r="1850" spans="1:23">
      <c r="A1850" s="565">
        <v>2544</v>
      </c>
      <c r="B1850" s="696" t="s">
        <v>7256</v>
      </c>
      <c r="C1850" s="566">
        <f t="shared" si="28"/>
        <v>2544</v>
      </c>
      <c r="D1850" s="700" t="s">
        <v>2239</v>
      </c>
      <c r="E1850" s="701" t="s">
        <v>9725</v>
      </c>
      <c r="F1850" s="566">
        <v>1</v>
      </c>
      <c r="G1850" s="662">
        <v>0</v>
      </c>
      <c r="H1850" s="662">
        <v>0</v>
      </c>
      <c r="I1850" s="662">
        <v>13669.659698412492</v>
      </c>
      <c r="J1850" s="662">
        <v>13973.177132616258</v>
      </c>
      <c r="K1850" s="566" t="s">
        <v>4158</v>
      </c>
      <c r="L1850" s="549"/>
      <c r="M1850" s="540"/>
      <c r="O1850" s="540"/>
      <c r="S1850" s="550"/>
      <c r="T1850" s="547"/>
      <c r="U1850" s="547"/>
      <c r="V1850" s="547"/>
      <c r="W1850" s="549"/>
    </row>
    <row r="1851" spans="1:23">
      <c r="A1851" s="565">
        <v>2545</v>
      </c>
      <c r="B1851" s="695" t="s">
        <v>7257</v>
      </c>
      <c r="C1851" s="566">
        <f t="shared" si="28"/>
        <v>2545</v>
      </c>
      <c r="D1851" s="699" t="s">
        <v>2239</v>
      </c>
      <c r="E1851" s="701" t="s">
        <v>9726</v>
      </c>
      <c r="F1851" s="567">
        <v>1</v>
      </c>
      <c r="G1851" s="662">
        <v>26802.349662904278</v>
      </c>
      <c r="H1851" s="662">
        <v>27474.591522585888</v>
      </c>
      <c r="I1851" s="662">
        <v>28182.204656670849</v>
      </c>
      <c r="J1851" s="662">
        <v>28927.065525339687</v>
      </c>
      <c r="K1851" s="568" t="s">
        <v>1340</v>
      </c>
      <c r="L1851" s="549"/>
      <c r="M1851" s="540"/>
      <c r="O1851" s="540"/>
      <c r="S1851" s="550"/>
      <c r="T1851" s="547"/>
      <c r="U1851" s="547"/>
      <c r="V1851" s="547"/>
      <c r="W1851" s="549"/>
    </row>
    <row r="1852" spans="1:23">
      <c r="A1852" s="565">
        <v>2546</v>
      </c>
      <c r="B1852" s="696" t="s">
        <v>7258</v>
      </c>
      <c r="C1852" s="566">
        <f t="shared" si="28"/>
        <v>2546</v>
      </c>
      <c r="D1852" s="700" t="s">
        <v>2239</v>
      </c>
      <c r="E1852" s="701" t="s">
        <v>9727</v>
      </c>
      <c r="F1852" s="566">
        <v>1</v>
      </c>
      <c r="G1852" s="662">
        <v>0</v>
      </c>
      <c r="H1852" s="662">
        <v>0</v>
      </c>
      <c r="I1852" s="662">
        <v>27557.883957090475</v>
      </c>
      <c r="J1852" s="662">
        <v>28231.783356598236</v>
      </c>
      <c r="K1852" s="566" t="s">
        <v>4159</v>
      </c>
      <c r="L1852" s="549"/>
      <c r="M1852" s="540"/>
      <c r="O1852" s="540"/>
      <c r="S1852" s="550"/>
      <c r="T1852" s="547"/>
      <c r="U1852" s="547"/>
      <c r="V1852" s="547"/>
      <c r="W1852" s="549"/>
    </row>
    <row r="1853" spans="1:23">
      <c r="A1853" s="565">
        <v>2547</v>
      </c>
      <c r="B1853" s="696" t="s">
        <v>7259</v>
      </c>
      <c r="C1853" s="566">
        <f t="shared" si="28"/>
        <v>2547</v>
      </c>
      <c r="D1853" s="700" t="s">
        <v>2239</v>
      </c>
      <c r="E1853" s="701" t="s">
        <v>9728</v>
      </c>
      <c r="F1853" s="566">
        <v>1</v>
      </c>
      <c r="G1853" s="662">
        <v>0</v>
      </c>
      <c r="H1853" s="662">
        <v>0</v>
      </c>
      <c r="I1853" s="662">
        <v>19502.713887057256</v>
      </c>
      <c r="J1853" s="662">
        <v>19961.789870228517</v>
      </c>
      <c r="K1853" s="566" t="s">
        <v>4160</v>
      </c>
      <c r="L1853" s="549"/>
      <c r="M1853" s="540"/>
      <c r="O1853" s="540"/>
      <c r="S1853" s="550"/>
      <c r="T1853" s="547"/>
      <c r="U1853" s="547"/>
      <c r="V1853" s="547"/>
      <c r="W1853" s="549"/>
    </row>
    <row r="1854" spans="1:23">
      <c r="A1854" s="565">
        <v>2548</v>
      </c>
      <c r="B1854" s="696" t="s">
        <v>7260</v>
      </c>
      <c r="C1854" s="566">
        <f t="shared" si="28"/>
        <v>2548</v>
      </c>
      <c r="D1854" s="700" t="s">
        <v>2239</v>
      </c>
      <c r="E1854" s="701" t="s">
        <v>9729</v>
      </c>
      <c r="F1854" s="566">
        <v>1</v>
      </c>
      <c r="G1854" s="662">
        <v>0</v>
      </c>
      <c r="H1854" s="662">
        <v>0</v>
      </c>
      <c r="I1854" s="662">
        <v>21447.065283272175</v>
      </c>
      <c r="J1854" s="662">
        <v>21957.994116099271</v>
      </c>
      <c r="K1854" s="566" t="s">
        <v>4161</v>
      </c>
      <c r="L1854" s="549"/>
      <c r="M1854" s="540"/>
      <c r="O1854" s="540"/>
      <c r="S1854" s="550"/>
      <c r="T1854" s="547"/>
      <c r="U1854" s="547"/>
      <c r="V1854" s="547"/>
      <c r="W1854" s="549"/>
    </row>
    <row r="1855" spans="1:23">
      <c r="A1855" s="565">
        <v>2549</v>
      </c>
      <c r="B1855" s="696" t="s">
        <v>7261</v>
      </c>
      <c r="C1855" s="566">
        <f t="shared" si="28"/>
        <v>2549</v>
      </c>
      <c r="D1855" s="700" t="s">
        <v>2239</v>
      </c>
      <c r="E1855" s="701" t="s">
        <v>9730</v>
      </c>
      <c r="F1855" s="566">
        <v>1</v>
      </c>
      <c r="G1855" s="662">
        <v>18558.314637467141</v>
      </c>
      <c r="H1855" s="662">
        <v>18992.214779882714</v>
      </c>
      <c r="I1855" s="662">
        <v>0</v>
      </c>
      <c r="J1855" s="662">
        <v>0</v>
      </c>
      <c r="K1855" s="566" t="s">
        <v>1341</v>
      </c>
      <c r="L1855" s="549"/>
      <c r="M1855" s="540"/>
      <c r="O1855" s="540"/>
      <c r="S1855" s="550"/>
      <c r="T1855" s="547"/>
      <c r="U1855" s="547"/>
      <c r="V1855" s="547"/>
      <c r="W1855" s="549"/>
    </row>
    <row r="1856" spans="1:23">
      <c r="A1856" s="565">
        <v>2550</v>
      </c>
      <c r="B1856" s="696" t="s">
        <v>7262</v>
      </c>
      <c r="C1856" s="566">
        <f t="shared" si="28"/>
        <v>2550</v>
      </c>
      <c r="D1856" s="700" t="s">
        <v>2239</v>
      </c>
      <c r="E1856" s="701" t="s">
        <v>9731</v>
      </c>
      <c r="F1856" s="566">
        <v>1</v>
      </c>
      <c r="G1856" s="662">
        <v>0</v>
      </c>
      <c r="H1856" s="662">
        <v>18012.526155942887</v>
      </c>
      <c r="I1856" s="662">
        <v>0</v>
      </c>
      <c r="J1856" s="662">
        <v>0</v>
      </c>
      <c r="K1856" s="566" t="s">
        <v>1342</v>
      </c>
      <c r="L1856" s="549"/>
      <c r="M1856" s="540"/>
      <c r="O1856" s="540"/>
      <c r="S1856" s="550"/>
      <c r="T1856" s="547"/>
      <c r="U1856" s="547"/>
      <c r="V1856" s="547"/>
      <c r="W1856" s="549"/>
    </row>
    <row r="1857" spans="1:23">
      <c r="A1857" s="565">
        <v>2551</v>
      </c>
      <c r="B1857" s="695" t="s">
        <v>7263</v>
      </c>
      <c r="C1857" s="566">
        <f t="shared" si="28"/>
        <v>2551</v>
      </c>
      <c r="D1857" s="699" t="s">
        <v>2239</v>
      </c>
      <c r="E1857" s="701" t="s">
        <v>9732</v>
      </c>
      <c r="F1857" s="567">
        <v>1</v>
      </c>
      <c r="G1857" s="662">
        <v>0</v>
      </c>
      <c r="H1857" s="662">
        <v>24512.476782836915</v>
      </c>
      <c r="I1857" s="662">
        <v>25335.5258422279</v>
      </c>
      <c r="J1857" s="662">
        <v>26201.934196328679</v>
      </c>
      <c r="K1857" s="568" t="s">
        <v>4162</v>
      </c>
      <c r="L1857" s="549"/>
      <c r="M1857" s="540"/>
      <c r="O1857" s="540"/>
      <c r="S1857" s="550"/>
      <c r="T1857" s="547"/>
      <c r="U1857" s="547"/>
      <c r="V1857" s="547"/>
      <c r="W1857" s="549"/>
    </row>
    <row r="1858" spans="1:23">
      <c r="A1858" s="565">
        <v>2552</v>
      </c>
      <c r="B1858" s="695" t="s">
        <v>7264</v>
      </c>
      <c r="C1858" s="566">
        <f t="shared" si="28"/>
        <v>2552</v>
      </c>
      <c r="D1858" s="699" t="s">
        <v>2239</v>
      </c>
      <c r="E1858" s="701" t="s">
        <v>9733</v>
      </c>
      <c r="F1858" s="567">
        <v>1</v>
      </c>
      <c r="G1858" s="662">
        <v>0</v>
      </c>
      <c r="H1858" s="662">
        <v>0</v>
      </c>
      <c r="I1858" s="662">
        <v>27064.607218539066</v>
      </c>
      <c r="J1858" s="662">
        <v>27996.008777051877</v>
      </c>
      <c r="K1858" s="568" t="s">
        <v>4163</v>
      </c>
      <c r="L1858" s="549"/>
      <c r="M1858" s="540"/>
      <c r="O1858" s="540"/>
      <c r="S1858" s="550"/>
      <c r="T1858" s="547"/>
      <c r="U1858" s="547"/>
      <c r="V1858" s="547"/>
      <c r="W1858" s="549"/>
    </row>
    <row r="1859" spans="1:23">
      <c r="A1859" s="565">
        <v>2553</v>
      </c>
      <c r="B1859" s="695" t="s">
        <v>7265</v>
      </c>
      <c r="C1859" s="566">
        <f t="shared" si="28"/>
        <v>2553</v>
      </c>
      <c r="D1859" s="699" t="s">
        <v>2239</v>
      </c>
      <c r="E1859" s="701" t="s">
        <v>9734</v>
      </c>
      <c r="F1859" s="567">
        <v>1</v>
      </c>
      <c r="G1859" s="662">
        <v>15384.049700315134</v>
      </c>
      <c r="H1859" s="662">
        <v>15704.440467647064</v>
      </c>
      <c r="I1859" s="662">
        <v>0</v>
      </c>
      <c r="J1859" s="662">
        <v>0</v>
      </c>
      <c r="K1859" s="568" t="s">
        <v>1343</v>
      </c>
      <c r="L1859" s="549"/>
      <c r="M1859" s="540"/>
      <c r="O1859" s="540"/>
      <c r="S1859" s="550"/>
      <c r="T1859" s="547"/>
      <c r="U1859" s="547"/>
      <c r="V1859" s="547"/>
      <c r="W1859" s="549"/>
    </row>
    <row r="1860" spans="1:23">
      <c r="A1860" s="565">
        <v>2554</v>
      </c>
      <c r="B1860" s="695" t="s">
        <v>7266</v>
      </c>
      <c r="C1860" s="566">
        <f t="shared" si="28"/>
        <v>2554</v>
      </c>
      <c r="D1860" s="699" t="s">
        <v>2239</v>
      </c>
      <c r="E1860" s="701" t="s">
        <v>9735</v>
      </c>
      <c r="F1860" s="567">
        <v>1</v>
      </c>
      <c r="G1860" s="662">
        <v>14530.420586558334</v>
      </c>
      <c r="H1860" s="662">
        <v>14842.330920662842</v>
      </c>
      <c r="I1860" s="662">
        <v>0</v>
      </c>
      <c r="J1860" s="662">
        <v>0</v>
      </c>
      <c r="K1860" s="568" t="s">
        <v>1344</v>
      </c>
      <c r="L1860" s="549"/>
      <c r="M1860" s="540"/>
      <c r="O1860" s="540"/>
      <c r="S1860" s="550"/>
      <c r="T1860" s="547"/>
      <c r="U1860" s="547"/>
      <c r="V1860" s="547"/>
      <c r="W1860" s="549"/>
    </row>
    <row r="1861" spans="1:23">
      <c r="A1861" s="565">
        <v>2555</v>
      </c>
      <c r="B1861" s="695" t="s">
        <v>7267</v>
      </c>
      <c r="C1861" s="566">
        <f t="shared" si="28"/>
        <v>2555</v>
      </c>
      <c r="D1861" s="699" t="s">
        <v>2239</v>
      </c>
      <c r="E1861" s="701" t="s">
        <v>9736</v>
      </c>
      <c r="F1861" s="567">
        <v>2</v>
      </c>
      <c r="G1861" s="662">
        <v>24777.821275378443</v>
      </c>
      <c r="H1861" s="662">
        <v>25737.868570569393</v>
      </c>
      <c r="I1861" s="662">
        <v>26748.419063226796</v>
      </c>
      <c r="J1861" s="662">
        <v>27812.148741655721</v>
      </c>
      <c r="K1861" s="568" t="s">
        <v>1345</v>
      </c>
      <c r="L1861" s="549"/>
      <c r="M1861" s="540"/>
      <c r="O1861" s="540"/>
      <c r="S1861" s="550"/>
      <c r="T1861" s="547"/>
      <c r="U1861" s="547"/>
      <c r="V1861" s="547"/>
      <c r="W1861" s="549"/>
    </row>
    <row r="1862" spans="1:23">
      <c r="A1862" s="565">
        <v>2556</v>
      </c>
      <c r="B1862" s="695" t="s">
        <v>7268</v>
      </c>
      <c r="C1862" s="566">
        <f t="shared" si="28"/>
        <v>2556</v>
      </c>
      <c r="D1862" s="699" t="s">
        <v>2239</v>
      </c>
      <c r="E1862" s="701" t="s">
        <v>9737</v>
      </c>
      <c r="F1862" s="567">
        <v>2</v>
      </c>
      <c r="G1862" s="662">
        <v>25791.930581860892</v>
      </c>
      <c r="H1862" s="662">
        <v>26798.053530231737</v>
      </c>
      <c r="I1862" s="662">
        <v>27857.112392710005</v>
      </c>
      <c r="J1862" s="662">
        <v>28971.929120599227</v>
      </c>
      <c r="K1862" s="568" t="s">
        <v>1346</v>
      </c>
      <c r="L1862" s="549"/>
      <c r="M1862" s="540"/>
      <c r="O1862" s="540"/>
      <c r="S1862" s="550"/>
      <c r="T1862" s="547"/>
      <c r="U1862" s="547"/>
      <c r="V1862" s="547"/>
      <c r="W1862" s="549"/>
    </row>
    <row r="1863" spans="1:23">
      <c r="A1863" s="565">
        <v>2557</v>
      </c>
      <c r="B1863" s="696" t="s">
        <v>7269</v>
      </c>
      <c r="C1863" s="566">
        <f t="shared" si="28"/>
        <v>2557</v>
      </c>
      <c r="D1863" s="700" t="s">
        <v>2239</v>
      </c>
      <c r="E1863" s="701" t="s">
        <v>9738</v>
      </c>
      <c r="F1863" s="566">
        <v>1</v>
      </c>
      <c r="G1863" s="662">
        <v>21994.670409373881</v>
      </c>
      <c r="H1863" s="662">
        <v>22438.045499483476</v>
      </c>
      <c r="I1863" s="662">
        <v>22881.420589593068</v>
      </c>
      <c r="J1863" s="662">
        <v>23348.136116127953</v>
      </c>
      <c r="K1863" s="566" t="s">
        <v>1347</v>
      </c>
      <c r="L1863" s="549"/>
      <c r="M1863" s="540"/>
      <c r="O1863" s="540"/>
      <c r="S1863" s="550"/>
      <c r="T1863" s="547"/>
      <c r="U1863" s="547"/>
      <c r="V1863" s="547"/>
      <c r="W1863" s="549"/>
    </row>
    <row r="1864" spans="1:23">
      <c r="A1864" s="565">
        <v>2558</v>
      </c>
      <c r="B1864" s="696" t="s">
        <v>7270</v>
      </c>
      <c r="C1864" s="566">
        <f t="shared" si="28"/>
        <v>2558</v>
      </c>
      <c r="D1864" s="700" t="s">
        <v>2239</v>
      </c>
      <c r="E1864" s="701" t="s">
        <v>9739</v>
      </c>
      <c r="F1864" s="566">
        <v>2</v>
      </c>
      <c r="G1864" s="662">
        <v>9972.2645433834186</v>
      </c>
      <c r="H1864" s="662">
        <v>10270.418294900246</v>
      </c>
      <c r="I1864" s="662">
        <v>10584.28739591772</v>
      </c>
      <c r="J1864" s="662">
        <v>10914.698970093761</v>
      </c>
      <c r="K1864" s="566" t="s">
        <v>1348</v>
      </c>
      <c r="L1864" s="549"/>
      <c r="M1864" s="540"/>
      <c r="O1864" s="540"/>
      <c r="S1864" s="550"/>
      <c r="T1864" s="547"/>
      <c r="U1864" s="547"/>
      <c r="V1864" s="547"/>
      <c r="W1864" s="549"/>
    </row>
    <row r="1865" spans="1:23">
      <c r="A1865" s="565">
        <v>2559</v>
      </c>
      <c r="B1865" s="696" t="s">
        <v>7271</v>
      </c>
      <c r="C1865" s="566">
        <f t="shared" ref="C1865:C1928" si="29">A1865</f>
        <v>2559</v>
      </c>
      <c r="D1865" s="700" t="s">
        <v>2239</v>
      </c>
      <c r="E1865" s="701" t="s">
        <v>9740</v>
      </c>
      <c r="F1865" s="566">
        <v>2</v>
      </c>
      <c r="G1865" s="662">
        <v>12646.666689559072</v>
      </c>
      <c r="H1865" s="662">
        <v>13070.251311084126</v>
      </c>
      <c r="I1865" s="662">
        <v>13516.168271373248</v>
      </c>
      <c r="J1865" s="662">
        <v>13985.53662008129</v>
      </c>
      <c r="K1865" s="566" t="s">
        <v>1349</v>
      </c>
      <c r="L1865" s="549"/>
      <c r="M1865" s="540"/>
      <c r="O1865" s="540"/>
      <c r="S1865" s="550"/>
      <c r="T1865" s="547"/>
      <c r="U1865" s="547"/>
      <c r="V1865" s="547"/>
      <c r="W1865" s="549"/>
    </row>
    <row r="1866" spans="1:23">
      <c r="A1866" s="565">
        <v>2560</v>
      </c>
      <c r="B1866" s="696" t="s">
        <v>7272</v>
      </c>
      <c r="C1866" s="566">
        <f t="shared" si="29"/>
        <v>2560</v>
      </c>
      <c r="D1866" s="700" t="s">
        <v>2239</v>
      </c>
      <c r="E1866" s="701" t="s">
        <v>9741</v>
      </c>
      <c r="F1866" s="566">
        <v>2</v>
      </c>
      <c r="G1866" s="662">
        <v>13352.228709214056</v>
      </c>
      <c r="H1866" s="662">
        <v>13808.94693138907</v>
      </c>
      <c r="I1866" s="662">
        <v>14289.700393976829</v>
      </c>
      <c r="J1866" s="662">
        <v>14795.754109630641</v>
      </c>
      <c r="K1866" s="566" t="s">
        <v>1350</v>
      </c>
      <c r="L1866" s="549"/>
      <c r="M1866" s="540"/>
      <c r="O1866" s="540"/>
      <c r="S1866" s="550"/>
      <c r="T1866" s="547"/>
      <c r="U1866" s="547"/>
      <c r="V1866" s="547"/>
      <c r="W1866" s="549"/>
    </row>
    <row r="1867" spans="1:23">
      <c r="A1867" s="565">
        <v>2561</v>
      </c>
      <c r="B1867" s="695" t="s">
        <v>7273</v>
      </c>
      <c r="C1867" s="566">
        <f t="shared" si="29"/>
        <v>2561</v>
      </c>
      <c r="D1867" s="699" t="s">
        <v>2239</v>
      </c>
      <c r="E1867" s="701" t="s">
        <v>9742</v>
      </c>
      <c r="F1867" s="567">
        <v>2</v>
      </c>
      <c r="G1867" s="662">
        <v>13599.190012393146</v>
      </c>
      <c r="H1867" s="662">
        <v>14067.487965779161</v>
      </c>
      <c r="I1867" s="662">
        <v>14560.405011571751</v>
      </c>
      <c r="J1867" s="662">
        <v>15079.254816757044</v>
      </c>
      <c r="K1867" s="568" t="s">
        <v>1351</v>
      </c>
      <c r="L1867" s="549"/>
      <c r="M1867" s="540"/>
      <c r="O1867" s="540"/>
      <c r="S1867" s="550"/>
      <c r="T1867" s="547"/>
      <c r="U1867" s="547"/>
      <c r="V1867" s="547"/>
      <c r="W1867" s="549"/>
    </row>
    <row r="1868" spans="1:23">
      <c r="A1868" s="565">
        <v>2562</v>
      </c>
      <c r="B1868" s="696" t="s">
        <v>7274</v>
      </c>
      <c r="C1868" s="566">
        <f t="shared" si="29"/>
        <v>2562</v>
      </c>
      <c r="D1868" s="700" t="s">
        <v>2239</v>
      </c>
      <c r="E1868" s="701" t="s">
        <v>9743</v>
      </c>
      <c r="F1868" s="566">
        <v>2</v>
      </c>
      <c r="G1868" s="662">
        <v>0</v>
      </c>
      <c r="H1868" s="662">
        <v>14929.494368350544</v>
      </c>
      <c r="I1868" s="662">
        <v>15440.121591289373</v>
      </c>
      <c r="J1868" s="662">
        <v>15977.60600594447</v>
      </c>
      <c r="K1868" s="566" t="s">
        <v>3204</v>
      </c>
      <c r="L1868" s="549"/>
      <c r="M1868" s="540"/>
      <c r="O1868" s="540"/>
      <c r="S1868" s="550"/>
      <c r="T1868" s="547"/>
      <c r="U1868" s="547"/>
      <c r="V1868" s="547"/>
      <c r="W1868" s="549"/>
    </row>
    <row r="1869" spans="1:23">
      <c r="A1869" s="565">
        <v>2563</v>
      </c>
      <c r="B1869" s="695" t="s">
        <v>7275</v>
      </c>
      <c r="C1869" s="566">
        <f t="shared" si="29"/>
        <v>2563</v>
      </c>
      <c r="D1869" s="699" t="s">
        <v>2239</v>
      </c>
      <c r="E1869" s="701" t="s">
        <v>9744</v>
      </c>
      <c r="F1869" s="567">
        <v>1</v>
      </c>
      <c r="G1869" s="662">
        <v>0</v>
      </c>
      <c r="H1869" s="662">
        <v>0</v>
      </c>
      <c r="I1869" s="662">
        <v>16447.304550148092</v>
      </c>
      <c r="J1869" s="662">
        <v>16824.910887147198</v>
      </c>
      <c r="K1869" s="568" t="s">
        <v>4164</v>
      </c>
      <c r="L1869" s="549"/>
      <c r="M1869" s="540"/>
      <c r="O1869" s="540"/>
      <c r="S1869" s="550"/>
      <c r="T1869" s="547"/>
      <c r="U1869" s="547"/>
      <c r="V1869" s="547"/>
      <c r="W1869" s="549"/>
    </row>
    <row r="1870" spans="1:23">
      <c r="A1870" s="565">
        <v>2564</v>
      </c>
      <c r="B1870" s="696" t="s">
        <v>7276</v>
      </c>
      <c r="C1870" s="566">
        <f t="shared" si="29"/>
        <v>2564</v>
      </c>
      <c r="D1870" s="700" t="s">
        <v>2239</v>
      </c>
      <c r="E1870" s="701" t="s">
        <v>9745</v>
      </c>
      <c r="F1870" s="566">
        <v>1</v>
      </c>
      <c r="G1870" s="662">
        <v>0</v>
      </c>
      <c r="H1870" s="662">
        <v>30891.057779173192</v>
      </c>
      <c r="I1870" s="662">
        <v>0</v>
      </c>
      <c r="J1870" s="662">
        <v>0</v>
      </c>
      <c r="K1870" s="566" t="s">
        <v>3205</v>
      </c>
      <c r="L1870" s="549"/>
      <c r="M1870" s="540"/>
      <c r="O1870" s="540"/>
      <c r="S1870" s="550"/>
      <c r="T1870" s="547"/>
      <c r="U1870" s="547"/>
      <c r="V1870" s="547"/>
      <c r="W1870" s="549"/>
    </row>
    <row r="1871" spans="1:23">
      <c r="A1871" s="565">
        <v>2565</v>
      </c>
      <c r="B1871" s="696" t="s">
        <v>7277</v>
      </c>
      <c r="C1871" s="566">
        <f t="shared" si="29"/>
        <v>2565</v>
      </c>
      <c r="D1871" s="700" t="s">
        <v>2239</v>
      </c>
      <c r="E1871" s="701" t="s">
        <v>9746</v>
      </c>
      <c r="F1871" s="566">
        <v>1</v>
      </c>
      <c r="G1871" s="662">
        <v>29895.703646621434</v>
      </c>
      <c r="H1871" s="662">
        <v>30613.293293999632</v>
      </c>
      <c r="I1871" s="662">
        <v>31368.662339679551</v>
      </c>
      <c r="J1871" s="662">
        <v>32163.781066850777</v>
      </c>
      <c r="K1871" s="566" t="s">
        <v>3206</v>
      </c>
      <c r="L1871" s="549"/>
      <c r="M1871" s="540"/>
      <c r="O1871" s="540"/>
      <c r="S1871" s="550"/>
      <c r="T1871" s="547"/>
      <c r="U1871" s="547"/>
      <c r="V1871" s="547"/>
      <c r="W1871" s="549"/>
    </row>
    <row r="1872" spans="1:23">
      <c r="A1872" s="565">
        <v>2566</v>
      </c>
      <c r="B1872" s="696" t="s">
        <v>7278</v>
      </c>
      <c r="C1872" s="566">
        <f t="shared" si="29"/>
        <v>2566</v>
      </c>
      <c r="D1872" s="700" t="s">
        <v>2239</v>
      </c>
      <c r="E1872" s="701" t="s">
        <v>9747</v>
      </c>
      <c r="F1872" s="566">
        <v>1</v>
      </c>
      <c r="G1872" s="662">
        <v>0</v>
      </c>
      <c r="H1872" s="662">
        <v>30891.057779173192</v>
      </c>
      <c r="I1872" s="662">
        <v>0</v>
      </c>
      <c r="J1872" s="662">
        <v>0</v>
      </c>
      <c r="K1872" s="566" t="s">
        <v>3207</v>
      </c>
      <c r="L1872" s="549"/>
      <c r="M1872" s="540"/>
      <c r="O1872" s="540"/>
      <c r="S1872" s="550"/>
      <c r="T1872" s="547"/>
      <c r="U1872" s="547"/>
      <c r="V1872" s="547"/>
      <c r="W1872" s="549"/>
    </row>
    <row r="1873" spans="1:23">
      <c r="A1873" s="565">
        <v>2567</v>
      </c>
      <c r="B1873" s="696" t="s">
        <v>7279</v>
      </c>
      <c r="C1873" s="566">
        <f t="shared" si="29"/>
        <v>2567</v>
      </c>
      <c r="D1873" s="700" t="s">
        <v>2239</v>
      </c>
      <c r="E1873" s="701" t="s">
        <v>9748</v>
      </c>
      <c r="F1873" s="566">
        <v>1</v>
      </c>
      <c r="G1873" s="662">
        <v>0</v>
      </c>
      <c r="H1873" s="662">
        <v>0</v>
      </c>
      <c r="I1873" s="662">
        <v>31168.822264346756</v>
      </c>
      <c r="J1873" s="662">
        <v>31939.015345453019</v>
      </c>
      <c r="K1873" s="566" t="s">
        <v>4165</v>
      </c>
      <c r="L1873" s="549"/>
      <c r="M1873" s="540"/>
      <c r="O1873" s="540"/>
      <c r="S1873" s="550"/>
      <c r="T1873" s="547"/>
      <c r="U1873" s="547"/>
      <c r="V1873" s="547"/>
      <c r="W1873" s="549"/>
    </row>
    <row r="1874" spans="1:23">
      <c r="A1874" s="565">
        <v>2568</v>
      </c>
      <c r="B1874" s="695" t="s">
        <v>7280</v>
      </c>
      <c r="C1874" s="566">
        <f t="shared" si="29"/>
        <v>2568</v>
      </c>
      <c r="D1874" s="699" t="s">
        <v>2240</v>
      </c>
      <c r="E1874" s="701" t="s">
        <v>9749</v>
      </c>
      <c r="F1874" s="567">
        <v>2</v>
      </c>
      <c r="G1874" s="662">
        <v>8411.4404220585438</v>
      </c>
      <c r="H1874" s="662">
        <v>8617.6861388796642</v>
      </c>
      <c r="I1874" s="662">
        <v>8834.7817719194991</v>
      </c>
      <c r="J1874" s="662">
        <v>9063.3111731718709</v>
      </c>
      <c r="K1874" s="568" t="s">
        <v>1352</v>
      </c>
      <c r="L1874" s="549"/>
      <c r="M1874" s="540"/>
      <c r="O1874" s="540"/>
      <c r="S1874" s="550"/>
      <c r="T1874" s="547"/>
      <c r="U1874" s="547"/>
      <c r="V1874" s="547"/>
      <c r="W1874" s="549"/>
    </row>
    <row r="1875" spans="1:23">
      <c r="A1875" s="565">
        <v>2569</v>
      </c>
      <c r="B1875" s="696" t="s">
        <v>7281</v>
      </c>
      <c r="C1875" s="566">
        <f t="shared" si="29"/>
        <v>2569</v>
      </c>
      <c r="D1875" s="700" t="s">
        <v>2240</v>
      </c>
      <c r="E1875" s="701" t="s">
        <v>9750</v>
      </c>
      <c r="F1875" s="566">
        <v>2</v>
      </c>
      <c r="G1875" s="662">
        <v>9483.3656609239952</v>
      </c>
      <c r="H1875" s="662">
        <v>9739.5793775505681</v>
      </c>
      <c r="I1875" s="662">
        <v>10009.270344368091</v>
      </c>
      <c r="J1875" s="662">
        <v>10293.168376368858</v>
      </c>
      <c r="K1875" s="566" t="s">
        <v>1353</v>
      </c>
      <c r="L1875" s="549"/>
      <c r="M1875" s="540"/>
      <c r="O1875" s="540"/>
      <c r="S1875" s="550"/>
      <c r="T1875" s="547"/>
      <c r="U1875" s="547"/>
      <c r="V1875" s="547"/>
      <c r="W1875" s="549"/>
    </row>
    <row r="1876" spans="1:23">
      <c r="A1876" s="565">
        <v>2570</v>
      </c>
      <c r="B1876" s="696" t="s">
        <v>7282</v>
      </c>
      <c r="C1876" s="566">
        <f t="shared" si="29"/>
        <v>2570</v>
      </c>
      <c r="D1876" s="700" t="s">
        <v>2240</v>
      </c>
      <c r="E1876" s="701" t="s">
        <v>9751</v>
      </c>
      <c r="F1876" s="566">
        <v>2</v>
      </c>
      <c r="G1876" s="662">
        <v>9099.0290688722507</v>
      </c>
      <c r="H1876" s="662">
        <v>9337.337991021308</v>
      </c>
      <c r="I1876" s="662">
        <v>9588.1997310377537</v>
      </c>
      <c r="J1876" s="662">
        <v>9852.2467952482384</v>
      </c>
      <c r="K1876" s="566" t="s">
        <v>1354</v>
      </c>
      <c r="L1876" s="549"/>
      <c r="M1876" s="540"/>
      <c r="O1876" s="540"/>
      <c r="S1876" s="550"/>
      <c r="T1876" s="547"/>
      <c r="U1876" s="547"/>
      <c r="V1876" s="547"/>
      <c r="W1876" s="549"/>
    </row>
    <row r="1877" spans="1:23">
      <c r="A1877" s="565">
        <v>2571</v>
      </c>
      <c r="B1877" s="696" t="s">
        <v>7283</v>
      </c>
      <c r="C1877" s="566">
        <f t="shared" si="29"/>
        <v>2571</v>
      </c>
      <c r="D1877" s="700" t="s">
        <v>2240</v>
      </c>
      <c r="E1877" s="701" t="s">
        <v>9752</v>
      </c>
      <c r="F1877" s="566">
        <v>2</v>
      </c>
      <c r="G1877" s="662">
        <v>9913.6906935048428</v>
      </c>
      <c r="H1877" s="662">
        <v>10165.11121088349</v>
      </c>
      <c r="I1877" s="662">
        <v>10429.767402718486</v>
      </c>
      <c r="J1877" s="662">
        <v>10708.34683651406</v>
      </c>
      <c r="K1877" s="566" t="s">
        <v>1355</v>
      </c>
      <c r="L1877" s="549"/>
      <c r="M1877" s="540"/>
      <c r="O1877" s="540"/>
      <c r="S1877" s="550"/>
      <c r="T1877" s="547"/>
      <c r="U1877" s="547"/>
      <c r="V1877" s="547"/>
      <c r="W1877" s="549"/>
    </row>
    <row r="1878" spans="1:23">
      <c r="A1878" s="565">
        <v>2572</v>
      </c>
      <c r="B1878" s="696" t="s">
        <v>7284</v>
      </c>
      <c r="C1878" s="566">
        <f t="shared" si="29"/>
        <v>2572</v>
      </c>
      <c r="D1878" s="700" t="s">
        <v>2240</v>
      </c>
      <c r="E1878" s="701" t="s">
        <v>9753</v>
      </c>
      <c r="F1878" s="566">
        <v>2</v>
      </c>
      <c r="G1878" s="662">
        <v>10707.73598364769</v>
      </c>
      <c r="H1878" s="662">
        <v>10992.847308733411</v>
      </c>
      <c r="I1878" s="662">
        <v>11292.913227036048</v>
      </c>
      <c r="J1878" s="662">
        <v>11608.793197935884</v>
      </c>
      <c r="K1878" s="566" t="s">
        <v>1356</v>
      </c>
      <c r="L1878" s="549"/>
      <c r="M1878" s="540"/>
      <c r="O1878" s="540"/>
      <c r="S1878" s="550"/>
      <c r="T1878" s="547"/>
      <c r="U1878" s="547"/>
      <c r="V1878" s="547"/>
      <c r="W1878" s="549"/>
    </row>
    <row r="1879" spans="1:23">
      <c r="A1879" s="565">
        <v>2573</v>
      </c>
      <c r="B1879" s="696" t="s">
        <v>7285</v>
      </c>
      <c r="C1879" s="566">
        <f t="shared" si="29"/>
        <v>2573</v>
      </c>
      <c r="D1879" s="700" t="s">
        <v>2240</v>
      </c>
      <c r="E1879" s="701" t="s">
        <v>9754</v>
      </c>
      <c r="F1879" s="566">
        <v>2</v>
      </c>
      <c r="G1879" s="662">
        <v>13080.206517713958</v>
      </c>
      <c r="H1879" s="662">
        <v>13521.598625050883</v>
      </c>
      <c r="I1879" s="662">
        <v>13986.247503475446</v>
      </c>
      <c r="J1879" s="662">
        <v>14475.320856975311</v>
      </c>
      <c r="K1879" s="566" t="s">
        <v>1357</v>
      </c>
      <c r="L1879" s="549"/>
      <c r="M1879" s="540"/>
      <c r="O1879" s="540"/>
      <c r="S1879" s="550"/>
      <c r="T1879" s="547"/>
      <c r="U1879" s="547"/>
      <c r="V1879" s="547"/>
      <c r="W1879" s="549"/>
    </row>
    <row r="1880" spans="1:23">
      <c r="A1880" s="565">
        <v>2574</v>
      </c>
      <c r="B1880" s="696" t="s">
        <v>7286</v>
      </c>
      <c r="C1880" s="566">
        <f t="shared" si="29"/>
        <v>2574</v>
      </c>
      <c r="D1880" s="700" t="s">
        <v>2240</v>
      </c>
      <c r="E1880" s="701" t="s">
        <v>9755</v>
      </c>
      <c r="F1880" s="566">
        <v>2</v>
      </c>
      <c r="G1880" s="662">
        <v>13228.529031470958</v>
      </c>
      <c r="H1880" s="662">
        <v>13676.83005406823</v>
      </c>
      <c r="I1880" s="662">
        <v>14148.728428082875</v>
      </c>
      <c r="J1880" s="662">
        <v>14645.489166168192</v>
      </c>
      <c r="K1880" s="566" t="s">
        <v>1358</v>
      </c>
      <c r="L1880" s="549"/>
      <c r="M1880" s="540"/>
      <c r="O1880" s="540"/>
      <c r="S1880" s="550"/>
      <c r="T1880" s="547"/>
      <c r="U1880" s="547"/>
      <c r="V1880" s="547"/>
      <c r="W1880" s="549"/>
    </row>
    <row r="1881" spans="1:23">
      <c r="A1881" s="565">
        <v>2575</v>
      </c>
      <c r="B1881" s="696" t="s">
        <v>7287</v>
      </c>
      <c r="C1881" s="566">
        <f t="shared" si="29"/>
        <v>2575</v>
      </c>
      <c r="D1881" s="700" t="s">
        <v>2240</v>
      </c>
      <c r="E1881" s="701" t="s">
        <v>9756</v>
      </c>
      <c r="F1881" s="566">
        <v>2</v>
      </c>
      <c r="G1881" s="662">
        <v>12237.493712564012</v>
      </c>
      <c r="H1881" s="662">
        <v>12639.621773315745</v>
      </c>
      <c r="I1881" s="662">
        <v>13062.914468843879</v>
      </c>
      <c r="J1881" s="662">
        <v>13508.490848803269</v>
      </c>
      <c r="K1881" s="566" t="s">
        <v>1359</v>
      </c>
      <c r="L1881" s="549"/>
      <c r="M1881" s="540"/>
      <c r="O1881" s="540"/>
      <c r="S1881" s="550"/>
      <c r="T1881" s="547"/>
      <c r="U1881" s="547"/>
      <c r="V1881" s="547"/>
      <c r="W1881" s="549"/>
    </row>
    <row r="1882" spans="1:23">
      <c r="A1882" s="565">
        <v>2576</v>
      </c>
      <c r="B1882" s="696" t="s">
        <v>7288</v>
      </c>
      <c r="C1882" s="566">
        <f t="shared" si="29"/>
        <v>2576</v>
      </c>
      <c r="D1882" s="700" t="s">
        <v>2240</v>
      </c>
      <c r="E1882" s="701" t="s">
        <v>9757</v>
      </c>
      <c r="F1882" s="566">
        <v>2</v>
      </c>
      <c r="G1882" s="662">
        <v>12392.56921656743</v>
      </c>
      <c r="H1882" s="662">
        <v>12801.898118576419</v>
      </c>
      <c r="I1882" s="662">
        <v>13232.780890024371</v>
      </c>
      <c r="J1882" s="662">
        <v>13686.336580566127</v>
      </c>
      <c r="K1882" s="566" t="s">
        <v>1360</v>
      </c>
      <c r="L1882" s="549"/>
      <c r="M1882" s="540"/>
      <c r="O1882" s="540"/>
      <c r="S1882" s="550"/>
      <c r="T1882" s="547"/>
      <c r="U1882" s="547"/>
      <c r="V1882" s="547"/>
      <c r="W1882" s="549"/>
    </row>
    <row r="1883" spans="1:23">
      <c r="A1883" s="565">
        <v>2577</v>
      </c>
      <c r="B1883" s="696" t="s">
        <v>7289</v>
      </c>
      <c r="C1883" s="566">
        <f t="shared" si="29"/>
        <v>2577</v>
      </c>
      <c r="D1883" s="700" t="s">
        <v>2240</v>
      </c>
      <c r="E1883" s="701" t="s">
        <v>9758</v>
      </c>
      <c r="F1883" s="566">
        <v>2</v>
      </c>
      <c r="G1883" s="662">
        <v>15368.430706967827</v>
      </c>
      <c r="H1883" s="662">
        <v>15867.14633669976</v>
      </c>
      <c r="I1883" s="662">
        <v>16392.104126176324</v>
      </c>
      <c r="J1883" s="662">
        <v>16944.679210405964</v>
      </c>
      <c r="K1883" s="566" t="s">
        <v>1361</v>
      </c>
      <c r="L1883" s="549"/>
      <c r="M1883" s="540"/>
      <c r="O1883" s="540"/>
      <c r="S1883" s="550"/>
      <c r="T1883" s="547"/>
      <c r="U1883" s="547"/>
      <c r="V1883" s="547"/>
      <c r="W1883" s="549"/>
    </row>
    <row r="1884" spans="1:23">
      <c r="A1884" s="565">
        <v>2578</v>
      </c>
      <c r="B1884" s="696" t="s">
        <v>7290</v>
      </c>
      <c r="C1884" s="566">
        <f t="shared" si="29"/>
        <v>2578</v>
      </c>
      <c r="D1884" s="700" t="s">
        <v>2240</v>
      </c>
      <c r="E1884" s="701" t="s">
        <v>9759</v>
      </c>
      <c r="F1884" s="566">
        <v>2</v>
      </c>
      <c r="G1884" s="662">
        <v>15569.198399836352</v>
      </c>
      <c r="H1884" s="662">
        <v>16076.451326079088</v>
      </c>
      <c r="I1884" s="662">
        <v>16610.404790402608</v>
      </c>
      <c r="J1884" s="662">
        <v>17172.433927815357</v>
      </c>
      <c r="K1884" s="566" t="s">
        <v>1362</v>
      </c>
      <c r="L1884" s="549"/>
      <c r="M1884" s="540"/>
      <c r="O1884" s="540"/>
      <c r="S1884" s="550"/>
      <c r="T1884" s="547"/>
      <c r="U1884" s="547"/>
      <c r="V1884" s="547"/>
      <c r="W1884" s="549"/>
    </row>
    <row r="1885" spans="1:23">
      <c r="A1885" s="565">
        <v>2579</v>
      </c>
      <c r="B1885" s="696" t="s">
        <v>7291</v>
      </c>
      <c r="C1885" s="566">
        <f t="shared" si="29"/>
        <v>2579</v>
      </c>
      <c r="D1885" s="700" t="s">
        <v>2240</v>
      </c>
      <c r="E1885" s="701" t="s">
        <v>9760</v>
      </c>
      <c r="F1885" s="566">
        <v>2</v>
      </c>
      <c r="G1885" s="662">
        <v>15961.765601534167</v>
      </c>
      <c r="H1885" s="662">
        <v>16485.634742462371</v>
      </c>
      <c r="I1885" s="662">
        <v>17037.121178143654</v>
      </c>
      <c r="J1885" s="662">
        <v>17617.600043586466</v>
      </c>
      <c r="K1885" s="566" t="s">
        <v>1363</v>
      </c>
      <c r="L1885" s="549"/>
      <c r="M1885" s="540"/>
      <c r="O1885" s="540"/>
      <c r="S1885" s="550"/>
      <c r="T1885" s="547"/>
      <c r="U1885" s="547"/>
      <c r="V1885" s="547"/>
      <c r="W1885" s="549"/>
    </row>
    <row r="1886" spans="1:23">
      <c r="A1886" s="565">
        <v>2580</v>
      </c>
      <c r="B1886" s="696" t="s">
        <v>7292</v>
      </c>
      <c r="C1886" s="566">
        <f t="shared" si="29"/>
        <v>2580</v>
      </c>
      <c r="D1886" s="700" t="s">
        <v>2240</v>
      </c>
      <c r="E1886" s="701" t="s">
        <v>9761</v>
      </c>
      <c r="F1886" s="566">
        <v>2</v>
      </c>
      <c r="G1886" s="662">
        <v>16162.475997110672</v>
      </c>
      <c r="H1886" s="662">
        <v>16694.882434549683</v>
      </c>
      <c r="I1886" s="662">
        <v>17255.307247785906</v>
      </c>
      <c r="J1886" s="662">
        <v>17845.240166411826</v>
      </c>
      <c r="K1886" s="566" t="s">
        <v>1364</v>
      </c>
      <c r="L1886" s="549"/>
      <c r="M1886" s="540"/>
      <c r="O1886" s="540"/>
      <c r="S1886" s="550"/>
      <c r="T1886" s="547"/>
      <c r="U1886" s="547"/>
      <c r="V1886" s="547"/>
      <c r="W1886" s="549"/>
    </row>
    <row r="1887" spans="1:23">
      <c r="A1887" s="565">
        <v>2581</v>
      </c>
      <c r="B1887" s="696" t="s">
        <v>7293</v>
      </c>
      <c r="C1887" s="566">
        <f t="shared" si="29"/>
        <v>2581</v>
      </c>
      <c r="D1887" s="700" t="s">
        <v>2241</v>
      </c>
      <c r="E1887" s="701" t="s">
        <v>9762</v>
      </c>
      <c r="F1887" s="566">
        <v>1</v>
      </c>
      <c r="G1887" s="662">
        <v>0</v>
      </c>
      <c r="H1887" s="662">
        <v>80759.659768102938</v>
      </c>
      <c r="I1887" s="662">
        <v>82853.448622350188</v>
      </c>
      <c r="J1887" s="662">
        <v>85057.433884506187</v>
      </c>
      <c r="K1887" s="566" t="s">
        <v>4917</v>
      </c>
      <c r="L1887" s="549"/>
      <c r="M1887" s="540"/>
      <c r="O1887" s="540"/>
      <c r="S1887" s="550"/>
      <c r="T1887" s="547"/>
      <c r="U1887" s="547"/>
      <c r="V1887" s="547"/>
      <c r="W1887" s="549"/>
    </row>
    <row r="1888" spans="1:23">
      <c r="A1888" s="565">
        <v>2582</v>
      </c>
      <c r="B1888" s="696" t="s">
        <v>7294</v>
      </c>
      <c r="C1888" s="566">
        <f t="shared" si="29"/>
        <v>2582</v>
      </c>
      <c r="D1888" s="700" t="s">
        <v>2241</v>
      </c>
      <c r="E1888" s="701" t="s">
        <v>9763</v>
      </c>
      <c r="F1888" s="566">
        <v>1</v>
      </c>
      <c r="G1888" s="662">
        <v>0</v>
      </c>
      <c r="H1888" s="662">
        <v>78192.259229383388</v>
      </c>
      <c r="I1888" s="662">
        <v>80217.5661340597</v>
      </c>
      <c r="J1888" s="662">
        <v>82349.486171818309</v>
      </c>
      <c r="K1888" s="566" t="s">
        <v>4918</v>
      </c>
      <c r="L1888" s="549"/>
      <c r="M1888" s="540"/>
      <c r="O1888" s="540"/>
      <c r="S1888" s="550"/>
      <c r="T1888" s="547"/>
      <c r="U1888" s="547"/>
      <c r="V1888" s="547"/>
      <c r="W1888" s="549"/>
    </row>
    <row r="1889" spans="1:23">
      <c r="A1889" s="565">
        <v>2583</v>
      </c>
      <c r="B1889" s="696" t="s">
        <v>7295</v>
      </c>
      <c r="C1889" s="566">
        <f t="shared" si="29"/>
        <v>2583</v>
      </c>
      <c r="D1889" s="700" t="s">
        <v>2241</v>
      </c>
      <c r="E1889" s="701" t="s">
        <v>9764</v>
      </c>
      <c r="F1889" s="566">
        <v>1</v>
      </c>
      <c r="G1889" s="662">
        <v>0</v>
      </c>
      <c r="H1889" s="662">
        <v>65339.473833562057</v>
      </c>
      <c r="I1889" s="662">
        <v>67024.098385817822</v>
      </c>
      <c r="J1889" s="662">
        <v>68797.40542102851</v>
      </c>
      <c r="K1889" s="566" t="s">
        <v>3208</v>
      </c>
      <c r="L1889" s="549"/>
      <c r="M1889" s="540"/>
      <c r="O1889" s="540"/>
      <c r="S1889" s="550"/>
      <c r="T1889" s="547"/>
      <c r="U1889" s="547"/>
      <c r="V1889" s="547"/>
      <c r="W1889" s="549"/>
    </row>
    <row r="1890" spans="1:23">
      <c r="A1890" s="565">
        <v>2584</v>
      </c>
      <c r="B1890" s="696" t="s">
        <v>7296</v>
      </c>
      <c r="C1890" s="566">
        <f t="shared" si="29"/>
        <v>2584</v>
      </c>
      <c r="D1890" s="700" t="s">
        <v>2241</v>
      </c>
      <c r="E1890" s="701" t="s">
        <v>9765</v>
      </c>
      <c r="F1890" s="566">
        <v>1</v>
      </c>
      <c r="G1890" s="662">
        <v>0</v>
      </c>
      <c r="H1890" s="662">
        <v>63182.857381037626</v>
      </c>
      <c r="I1890" s="662">
        <v>64809.963948131546</v>
      </c>
      <c r="J1890" s="662">
        <v>66522.712211176316</v>
      </c>
      <c r="K1890" s="566" t="s">
        <v>4919</v>
      </c>
      <c r="L1890" s="549"/>
      <c r="M1890" s="540"/>
      <c r="O1890" s="540"/>
      <c r="S1890" s="550"/>
      <c r="T1890" s="547"/>
      <c r="U1890" s="547"/>
      <c r="V1890" s="547"/>
      <c r="W1890" s="549"/>
    </row>
    <row r="1891" spans="1:23">
      <c r="A1891" s="565">
        <v>2585</v>
      </c>
      <c r="B1891" s="696" t="s">
        <v>7297</v>
      </c>
      <c r="C1891" s="566">
        <f t="shared" si="29"/>
        <v>2585</v>
      </c>
      <c r="D1891" s="700" t="s">
        <v>2241</v>
      </c>
      <c r="E1891" s="701" t="s">
        <v>9766</v>
      </c>
      <c r="F1891" s="566">
        <v>1</v>
      </c>
      <c r="G1891" s="662">
        <v>0</v>
      </c>
      <c r="H1891" s="662">
        <v>92011.847314342958</v>
      </c>
      <c r="I1891" s="662">
        <v>94405.703314312967</v>
      </c>
      <c r="J1891" s="662">
        <v>96925.559249015743</v>
      </c>
      <c r="K1891" s="566" t="s">
        <v>4920</v>
      </c>
      <c r="L1891" s="549"/>
      <c r="M1891" s="540"/>
      <c r="O1891" s="540"/>
      <c r="S1891" s="550"/>
      <c r="T1891" s="547"/>
      <c r="U1891" s="547"/>
      <c r="V1891" s="547"/>
      <c r="W1891" s="549"/>
    </row>
    <row r="1892" spans="1:23">
      <c r="A1892" s="565">
        <v>2586</v>
      </c>
      <c r="B1892" s="696" t="s">
        <v>7298</v>
      </c>
      <c r="C1892" s="566">
        <f t="shared" si="29"/>
        <v>2586</v>
      </c>
      <c r="D1892" s="700" t="s">
        <v>2241</v>
      </c>
      <c r="E1892" s="701" t="s">
        <v>9767</v>
      </c>
      <c r="F1892" s="566">
        <v>1</v>
      </c>
      <c r="G1892" s="662">
        <v>0</v>
      </c>
      <c r="H1892" s="662">
        <v>89444.446775623408</v>
      </c>
      <c r="I1892" s="662">
        <v>91769.849378013067</v>
      </c>
      <c r="J1892" s="662">
        <v>94217.640088318527</v>
      </c>
      <c r="K1892" s="566" t="s">
        <v>4921</v>
      </c>
      <c r="L1892" s="549"/>
      <c r="M1892" s="540"/>
      <c r="O1892" s="540"/>
      <c r="S1892" s="550"/>
      <c r="T1892" s="547"/>
      <c r="U1892" s="547"/>
      <c r="V1892" s="547"/>
      <c r="W1892" s="549"/>
    </row>
    <row r="1893" spans="1:23">
      <c r="A1893" s="565">
        <v>2587</v>
      </c>
      <c r="B1893" s="696" t="s">
        <v>7299</v>
      </c>
      <c r="C1893" s="566">
        <f t="shared" si="29"/>
        <v>2587</v>
      </c>
      <c r="D1893" s="700" t="s">
        <v>2241</v>
      </c>
      <c r="E1893" s="701" t="s">
        <v>9768</v>
      </c>
      <c r="F1893" s="566">
        <v>1</v>
      </c>
      <c r="G1893" s="662">
        <v>0</v>
      </c>
      <c r="H1893" s="662">
        <v>82851.615762615183</v>
      </c>
      <c r="I1893" s="662">
        <v>85001.195206590011</v>
      </c>
      <c r="J1893" s="662">
        <v>87263.911913510441</v>
      </c>
      <c r="K1893" s="566" t="s">
        <v>4922</v>
      </c>
      <c r="L1893" s="549"/>
      <c r="M1893" s="540"/>
      <c r="O1893" s="540"/>
      <c r="S1893" s="550"/>
      <c r="T1893" s="547"/>
      <c r="U1893" s="547"/>
      <c r="V1893" s="547"/>
      <c r="W1893" s="549"/>
    </row>
    <row r="1894" spans="1:23">
      <c r="A1894" s="565">
        <v>2588</v>
      </c>
      <c r="B1894" s="696" t="s">
        <v>7300</v>
      </c>
      <c r="C1894" s="566">
        <f t="shared" si="29"/>
        <v>2588</v>
      </c>
      <c r="D1894" s="700" t="s">
        <v>2241</v>
      </c>
      <c r="E1894" s="701" t="s">
        <v>9769</v>
      </c>
      <c r="F1894" s="566">
        <v>1</v>
      </c>
      <c r="G1894" s="662">
        <v>0</v>
      </c>
      <c r="H1894" s="662">
        <v>80284.215223895633</v>
      </c>
      <c r="I1894" s="662">
        <v>82365.312718299509</v>
      </c>
      <c r="J1894" s="662">
        <v>84555.935648831932</v>
      </c>
      <c r="K1894" s="566" t="s">
        <v>4923</v>
      </c>
      <c r="L1894" s="549"/>
      <c r="M1894" s="540"/>
      <c r="O1894" s="540"/>
      <c r="S1894" s="550"/>
      <c r="T1894" s="547"/>
      <c r="U1894" s="547"/>
      <c r="V1894" s="547"/>
      <c r="W1894" s="549"/>
    </row>
    <row r="1895" spans="1:23">
      <c r="A1895" s="565">
        <v>2589</v>
      </c>
      <c r="B1895" s="696" t="s">
        <v>7301</v>
      </c>
      <c r="C1895" s="566">
        <f t="shared" si="29"/>
        <v>2589</v>
      </c>
      <c r="D1895" s="700" t="s">
        <v>2241</v>
      </c>
      <c r="E1895" s="701" t="s">
        <v>9770</v>
      </c>
      <c r="F1895" s="566">
        <v>1</v>
      </c>
      <c r="G1895" s="662">
        <v>86169.584755123346</v>
      </c>
      <c r="H1895" s="662">
        <v>88407.632542123276</v>
      </c>
      <c r="I1895" s="662">
        <v>90763.485842539812</v>
      </c>
      <c r="J1895" s="662">
        <v>93243.34043834373</v>
      </c>
      <c r="K1895" s="566" t="s">
        <v>3209</v>
      </c>
      <c r="L1895" s="549"/>
      <c r="M1895" s="540"/>
      <c r="O1895" s="540"/>
      <c r="S1895" s="550"/>
      <c r="T1895" s="547"/>
      <c r="U1895" s="547"/>
      <c r="V1895" s="547"/>
      <c r="W1895" s="549"/>
    </row>
    <row r="1896" spans="1:23">
      <c r="A1896" s="565">
        <v>2590</v>
      </c>
      <c r="B1896" s="696" t="s">
        <v>7302</v>
      </c>
      <c r="C1896" s="566">
        <f t="shared" si="29"/>
        <v>2590</v>
      </c>
      <c r="D1896" s="700" t="s">
        <v>2241</v>
      </c>
      <c r="E1896" s="701" t="s">
        <v>9771</v>
      </c>
      <c r="F1896" s="566">
        <v>1</v>
      </c>
      <c r="G1896" s="662">
        <v>93603.549822230547</v>
      </c>
      <c r="H1896" s="662">
        <v>96162.950263981809</v>
      </c>
      <c r="I1896" s="662">
        <v>0</v>
      </c>
      <c r="J1896" s="662">
        <v>0</v>
      </c>
      <c r="K1896" s="566" t="s">
        <v>4924</v>
      </c>
      <c r="L1896" s="549"/>
      <c r="M1896" s="540"/>
      <c r="O1896" s="540"/>
      <c r="S1896" s="550"/>
      <c r="T1896" s="547"/>
      <c r="U1896" s="547"/>
      <c r="V1896" s="547"/>
      <c r="W1896" s="549"/>
    </row>
    <row r="1897" spans="1:23">
      <c r="A1897" s="565">
        <v>2591</v>
      </c>
      <c r="B1897" s="696" t="s">
        <v>7303</v>
      </c>
      <c r="C1897" s="566">
        <f t="shared" si="29"/>
        <v>2591</v>
      </c>
      <c r="D1897" s="700" t="s">
        <v>2241</v>
      </c>
      <c r="E1897" s="701" t="s">
        <v>9772</v>
      </c>
      <c r="F1897" s="566">
        <v>1</v>
      </c>
      <c r="G1897" s="662">
        <v>55687.085209058656</v>
      </c>
      <c r="H1897" s="662">
        <v>57068.202100718539</v>
      </c>
      <c r="I1897" s="662">
        <v>0</v>
      </c>
      <c r="J1897" s="662">
        <v>0</v>
      </c>
      <c r="K1897" s="566" t="s">
        <v>4925</v>
      </c>
      <c r="L1897" s="549"/>
      <c r="M1897" s="540"/>
      <c r="O1897" s="540"/>
      <c r="S1897" s="550"/>
      <c r="T1897" s="547"/>
      <c r="U1897" s="547"/>
      <c r="V1897" s="547"/>
      <c r="W1897" s="549"/>
    </row>
    <row r="1898" spans="1:23">
      <c r="A1898" s="565">
        <v>2592</v>
      </c>
      <c r="B1898" s="696" t="s">
        <v>7304</v>
      </c>
      <c r="C1898" s="566">
        <f t="shared" si="29"/>
        <v>2592</v>
      </c>
      <c r="D1898" s="700" t="s">
        <v>2241</v>
      </c>
      <c r="E1898" s="701" t="s">
        <v>9773</v>
      </c>
      <c r="F1898" s="566">
        <v>1</v>
      </c>
      <c r="G1898" s="662">
        <v>59050.017517772598</v>
      </c>
      <c r="H1898" s="662">
        <v>60556.334888427147</v>
      </c>
      <c r="I1898" s="662">
        <v>0</v>
      </c>
      <c r="J1898" s="662">
        <v>0</v>
      </c>
      <c r="K1898" s="566" t="s">
        <v>4926</v>
      </c>
      <c r="L1898" s="549"/>
      <c r="M1898" s="540"/>
      <c r="O1898" s="540"/>
      <c r="S1898" s="550"/>
      <c r="T1898" s="547"/>
      <c r="U1898" s="547"/>
      <c r="V1898" s="547"/>
      <c r="W1898" s="549"/>
    </row>
    <row r="1899" spans="1:23">
      <c r="A1899" s="565">
        <v>2593</v>
      </c>
      <c r="B1899" s="696" t="s">
        <v>7305</v>
      </c>
      <c r="C1899" s="566">
        <f t="shared" si="29"/>
        <v>2593</v>
      </c>
      <c r="D1899" s="700" t="s">
        <v>2241</v>
      </c>
      <c r="E1899" s="701" t="s">
        <v>9774</v>
      </c>
      <c r="F1899" s="566">
        <v>1</v>
      </c>
      <c r="G1899" s="662">
        <v>37514.922448180208</v>
      </c>
      <c r="H1899" s="662">
        <v>39647.156557835973</v>
      </c>
      <c r="I1899" s="662">
        <v>40798.201508848455</v>
      </c>
      <c r="J1899" s="662">
        <v>42009.805232026898</v>
      </c>
      <c r="K1899" s="566" t="s">
        <v>1365</v>
      </c>
      <c r="L1899" s="549"/>
      <c r="M1899" s="540"/>
      <c r="O1899" s="540"/>
      <c r="S1899" s="550"/>
      <c r="T1899" s="547"/>
      <c r="U1899" s="547"/>
      <c r="V1899" s="547"/>
      <c r="W1899" s="549"/>
    </row>
    <row r="1900" spans="1:23">
      <c r="A1900" s="565">
        <v>2594</v>
      </c>
      <c r="B1900" s="696" t="s">
        <v>7306</v>
      </c>
      <c r="C1900" s="566">
        <f t="shared" si="29"/>
        <v>2594</v>
      </c>
      <c r="D1900" s="700" t="s">
        <v>2241</v>
      </c>
      <c r="E1900" s="701" t="s">
        <v>9775</v>
      </c>
      <c r="F1900" s="566">
        <v>1</v>
      </c>
      <c r="G1900" s="662">
        <v>38428.464716847942</v>
      </c>
      <c r="H1900" s="662">
        <v>39494.110663830099</v>
      </c>
      <c r="I1900" s="662">
        <v>40615.832720446371</v>
      </c>
      <c r="J1900" s="662">
        <v>41796.600293724179</v>
      </c>
      <c r="K1900" s="566" t="s">
        <v>1366</v>
      </c>
      <c r="L1900" s="549"/>
      <c r="M1900" s="540"/>
      <c r="O1900" s="540"/>
      <c r="S1900" s="550"/>
      <c r="T1900" s="547"/>
      <c r="U1900" s="547"/>
      <c r="V1900" s="547"/>
      <c r="W1900" s="549"/>
    </row>
    <row r="1901" spans="1:23">
      <c r="A1901" s="565">
        <v>2595</v>
      </c>
      <c r="B1901" s="696" t="s">
        <v>7307</v>
      </c>
      <c r="C1901" s="566">
        <f t="shared" si="29"/>
        <v>2595</v>
      </c>
      <c r="D1901" s="700" t="s">
        <v>2241</v>
      </c>
      <c r="E1901" s="701" t="s">
        <v>9776</v>
      </c>
      <c r="F1901" s="566">
        <v>1</v>
      </c>
      <c r="G1901" s="662">
        <v>39844.0498051701</v>
      </c>
      <c r="H1901" s="662">
        <v>40976.278994345092</v>
      </c>
      <c r="I1901" s="662">
        <v>42168.153291985269</v>
      </c>
      <c r="J1901" s="662">
        <v>43422.72776109002</v>
      </c>
      <c r="K1901" s="566" t="s">
        <v>1367</v>
      </c>
      <c r="L1901" s="549"/>
      <c r="M1901" s="540"/>
      <c r="O1901" s="540"/>
      <c r="S1901" s="550"/>
      <c r="T1901" s="547"/>
      <c r="U1901" s="547"/>
      <c r="V1901" s="547"/>
      <c r="W1901" s="549"/>
    </row>
    <row r="1902" spans="1:23">
      <c r="A1902" s="565">
        <v>2596</v>
      </c>
      <c r="B1902" s="695" t="s">
        <v>7308</v>
      </c>
      <c r="C1902" s="566">
        <f t="shared" si="29"/>
        <v>2596</v>
      </c>
      <c r="D1902" s="699" t="s">
        <v>2241</v>
      </c>
      <c r="E1902" s="701" t="s">
        <v>9777</v>
      </c>
      <c r="F1902" s="567">
        <v>1</v>
      </c>
      <c r="G1902" s="662">
        <v>43879.699144983773</v>
      </c>
      <c r="H1902" s="662">
        <v>45105.550311495921</v>
      </c>
      <c r="I1902" s="662">
        <v>46395.928976874166</v>
      </c>
      <c r="J1902" s="662">
        <v>47754.232828005719</v>
      </c>
      <c r="K1902" s="568" t="s">
        <v>1368</v>
      </c>
      <c r="L1902" s="549"/>
      <c r="M1902" s="540"/>
      <c r="O1902" s="540"/>
      <c r="S1902" s="550"/>
      <c r="T1902" s="547"/>
      <c r="U1902" s="547"/>
      <c r="V1902" s="547"/>
      <c r="W1902" s="549"/>
    </row>
    <row r="1903" spans="1:23">
      <c r="A1903" s="565">
        <v>2597</v>
      </c>
      <c r="B1903" s="695" t="s">
        <v>7309</v>
      </c>
      <c r="C1903" s="566">
        <f t="shared" si="29"/>
        <v>2597</v>
      </c>
      <c r="D1903" s="699" t="s">
        <v>2241</v>
      </c>
      <c r="E1903" s="701" t="s">
        <v>9778</v>
      </c>
      <c r="F1903" s="567">
        <v>1</v>
      </c>
      <c r="G1903" s="662">
        <v>0</v>
      </c>
      <c r="H1903" s="662">
        <v>0</v>
      </c>
      <c r="I1903" s="662">
        <v>77563.040615262013</v>
      </c>
      <c r="J1903" s="662">
        <v>79570.531077773543</v>
      </c>
      <c r="K1903" s="568" t="s">
        <v>4166</v>
      </c>
      <c r="L1903" s="549"/>
      <c r="M1903" s="540"/>
      <c r="O1903" s="540"/>
      <c r="S1903" s="550"/>
      <c r="T1903" s="547"/>
      <c r="U1903" s="547"/>
      <c r="V1903" s="547"/>
      <c r="W1903" s="549"/>
    </row>
    <row r="1904" spans="1:23">
      <c r="A1904" s="565">
        <v>2598</v>
      </c>
      <c r="B1904" s="696" t="s">
        <v>7310</v>
      </c>
      <c r="C1904" s="566">
        <f t="shared" si="29"/>
        <v>2598</v>
      </c>
      <c r="D1904" s="700" t="s">
        <v>2241</v>
      </c>
      <c r="E1904" s="701" t="s">
        <v>9779</v>
      </c>
      <c r="F1904" s="566">
        <v>1</v>
      </c>
      <c r="G1904" s="662">
        <v>67688.554749600953</v>
      </c>
      <c r="H1904" s="662">
        <v>69432.710202359303</v>
      </c>
      <c r="I1904" s="662">
        <v>71268.660305053287</v>
      </c>
      <c r="J1904" s="662">
        <v>73201.230344102572</v>
      </c>
      <c r="K1904" s="566" t="s">
        <v>3210</v>
      </c>
      <c r="L1904" s="549"/>
      <c r="M1904" s="540"/>
      <c r="O1904" s="540"/>
      <c r="S1904" s="550"/>
      <c r="T1904" s="547"/>
      <c r="U1904" s="547"/>
      <c r="V1904" s="547"/>
      <c r="W1904" s="549"/>
    </row>
    <row r="1905" spans="1:23">
      <c r="A1905" s="565">
        <v>2599</v>
      </c>
      <c r="B1905" s="696" t="s">
        <v>7311</v>
      </c>
      <c r="C1905" s="566">
        <f t="shared" si="29"/>
        <v>2599</v>
      </c>
      <c r="D1905" s="700" t="s">
        <v>2241</v>
      </c>
      <c r="E1905" s="701" t="s">
        <v>9780</v>
      </c>
      <c r="F1905" s="566">
        <v>1</v>
      </c>
      <c r="G1905" s="662">
        <v>50540.380743335016</v>
      </c>
      <c r="H1905" s="662">
        <v>51958.558118856941</v>
      </c>
      <c r="I1905" s="662">
        <v>53451.370397934603</v>
      </c>
      <c r="J1905" s="662">
        <v>55022.786307268223</v>
      </c>
      <c r="K1905" s="566" t="s">
        <v>1369</v>
      </c>
      <c r="L1905" s="549"/>
      <c r="M1905" s="540"/>
      <c r="O1905" s="540"/>
      <c r="S1905" s="550"/>
      <c r="T1905" s="547"/>
      <c r="U1905" s="547"/>
      <c r="V1905" s="547"/>
      <c r="W1905" s="549"/>
    </row>
    <row r="1906" spans="1:23">
      <c r="A1906" s="565">
        <v>2600</v>
      </c>
      <c r="B1906" s="695" t="s">
        <v>7312</v>
      </c>
      <c r="C1906" s="566">
        <f t="shared" si="29"/>
        <v>2600</v>
      </c>
      <c r="D1906" s="699" t="s">
        <v>2241</v>
      </c>
      <c r="E1906" s="701" t="s">
        <v>9781</v>
      </c>
      <c r="F1906" s="567">
        <v>1</v>
      </c>
      <c r="G1906" s="662">
        <v>0</v>
      </c>
      <c r="H1906" s="662">
        <v>0</v>
      </c>
      <c r="I1906" s="662">
        <v>43635.61918292637</v>
      </c>
      <c r="J1906" s="662">
        <v>44905.554623000142</v>
      </c>
      <c r="K1906" s="568" t="s">
        <v>4167</v>
      </c>
      <c r="L1906" s="549"/>
      <c r="M1906" s="540"/>
      <c r="O1906" s="540"/>
      <c r="S1906" s="550"/>
      <c r="T1906" s="547"/>
      <c r="U1906" s="547"/>
      <c r="V1906" s="547"/>
      <c r="W1906" s="549"/>
    </row>
    <row r="1907" spans="1:23">
      <c r="A1907" s="565">
        <v>2601</v>
      </c>
      <c r="B1907" s="695" t="s">
        <v>7313</v>
      </c>
      <c r="C1907" s="566">
        <f t="shared" si="29"/>
        <v>2601</v>
      </c>
      <c r="D1907" s="699" t="s">
        <v>2241</v>
      </c>
      <c r="E1907" s="701" t="s">
        <v>9782</v>
      </c>
      <c r="F1907" s="567">
        <v>1</v>
      </c>
      <c r="G1907" s="662">
        <v>76357.546413653967</v>
      </c>
      <c r="H1907" s="662">
        <v>78534.521492656291</v>
      </c>
      <c r="I1907" s="662">
        <v>80826.047158141257</v>
      </c>
      <c r="J1907" s="662">
        <v>83238.204984117066</v>
      </c>
      <c r="K1907" s="568" t="s">
        <v>3211</v>
      </c>
      <c r="L1907" s="549"/>
      <c r="M1907" s="540"/>
      <c r="O1907" s="540"/>
      <c r="S1907" s="550"/>
      <c r="T1907" s="547"/>
      <c r="U1907" s="547"/>
      <c r="V1907" s="547"/>
      <c r="W1907" s="549"/>
    </row>
    <row r="1908" spans="1:23">
      <c r="A1908" s="565">
        <v>2602</v>
      </c>
      <c r="B1908" s="695" t="s">
        <v>7314</v>
      </c>
      <c r="C1908" s="566">
        <f t="shared" si="29"/>
        <v>2602</v>
      </c>
      <c r="D1908" s="699" t="s">
        <v>2241</v>
      </c>
      <c r="E1908" s="701" t="s">
        <v>9783</v>
      </c>
      <c r="F1908" s="567">
        <v>1</v>
      </c>
      <c r="G1908" s="662">
        <v>40472.047814928788</v>
      </c>
      <c r="H1908" s="662">
        <v>41546.516327021411</v>
      </c>
      <c r="I1908" s="662">
        <v>0</v>
      </c>
      <c r="J1908" s="662">
        <v>43868.050134678189</v>
      </c>
      <c r="K1908" s="568" t="s">
        <v>1370</v>
      </c>
      <c r="L1908" s="549"/>
      <c r="M1908" s="540"/>
      <c r="O1908" s="540"/>
      <c r="S1908" s="550"/>
      <c r="T1908" s="547"/>
      <c r="U1908" s="547"/>
      <c r="V1908" s="547"/>
      <c r="W1908" s="549"/>
    </row>
    <row r="1909" spans="1:23">
      <c r="A1909" s="565">
        <v>2603</v>
      </c>
      <c r="B1909" s="695" t="s">
        <v>7315</v>
      </c>
      <c r="C1909" s="566">
        <f t="shared" si="29"/>
        <v>2603</v>
      </c>
      <c r="D1909" s="699" t="s">
        <v>2241</v>
      </c>
      <c r="E1909" s="701" t="s">
        <v>9784</v>
      </c>
      <c r="F1909" s="567">
        <v>1</v>
      </c>
      <c r="G1909" s="662">
        <v>49610.730500903519</v>
      </c>
      <c r="H1909" s="662">
        <v>50984.85215485446</v>
      </c>
      <c r="I1909" s="662">
        <v>0</v>
      </c>
      <c r="J1909" s="662">
        <v>0</v>
      </c>
      <c r="K1909" s="568" t="s">
        <v>1371</v>
      </c>
      <c r="L1909" s="549"/>
      <c r="M1909" s="540"/>
      <c r="O1909" s="540"/>
      <c r="S1909" s="550"/>
      <c r="T1909" s="547"/>
      <c r="U1909" s="547"/>
      <c r="V1909" s="547"/>
      <c r="W1909" s="549"/>
    </row>
    <row r="1910" spans="1:23">
      <c r="A1910" s="565">
        <v>2604</v>
      </c>
      <c r="B1910" s="695" t="s">
        <v>7316</v>
      </c>
      <c r="C1910" s="566">
        <f t="shared" si="29"/>
        <v>2604</v>
      </c>
      <c r="D1910" s="699" t="s">
        <v>2241</v>
      </c>
      <c r="E1910" s="701" t="s">
        <v>9785</v>
      </c>
      <c r="F1910" s="567">
        <v>1</v>
      </c>
      <c r="G1910" s="662">
        <v>59922.139384956332</v>
      </c>
      <c r="H1910" s="662">
        <v>61503.348627082458</v>
      </c>
      <c r="I1910" s="662">
        <v>63167.758369958938</v>
      </c>
      <c r="J1910" s="662">
        <v>64919.794172136346</v>
      </c>
      <c r="K1910" s="568" t="s">
        <v>1372</v>
      </c>
      <c r="L1910" s="549"/>
      <c r="M1910" s="540"/>
      <c r="O1910" s="540"/>
      <c r="S1910" s="550"/>
      <c r="T1910" s="547"/>
      <c r="U1910" s="547"/>
      <c r="V1910" s="547"/>
      <c r="W1910" s="549"/>
    </row>
    <row r="1911" spans="1:23">
      <c r="A1911" s="565">
        <v>2605</v>
      </c>
      <c r="B1911" s="695" t="s">
        <v>7317</v>
      </c>
      <c r="C1911" s="566">
        <f t="shared" si="29"/>
        <v>2605</v>
      </c>
      <c r="D1911" s="699" t="s">
        <v>2241</v>
      </c>
      <c r="E1911" s="701" t="s">
        <v>9786</v>
      </c>
      <c r="F1911" s="567">
        <v>1</v>
      </c>
      <c r="G1911" s="662">
        <v>0</v>
      </c>
      <c r="H1911" s="662">
        <v>71941.748288204428</v>
      </c>
      <c r="I1911" s="662">
        <v>73800.368671473509</v>
      </c>
      <c r="J1911" s="662">
        <v>75756.808174705089</v>
      </c>
      <c r="K1911" s="568" t="s">
        <v>4927</v>
      </c>
      <c r="L1911" s="549"/>
      <c r="M1911" s="540"/>
      <c r="O1911" s="540"/>
      <c r="S1911" s="550"/>
      <c r="T1911" s="547"/>
      <c r="U1911" s="547"/>
      <c r="V1911" s="547"/>
      <c r="W1911" s="549"/>
    </row>
    <row r="1912" spans="1:23">
      <c r="A1912" s="565">
        <v>2606</v>
      </c>
      <c r="B1912" s="695" t="s">
        <v>7318</v>
      </c>
      <c r="C1912" s="566">
        <f t="shared" si="29"/>
        <v>2606</v>
      </c>
      <c r="D1912" s="699" t="s">
        <v>2241</v>
      </c>
      <c r="E1912" s="701" t="s">
        <v>9787</v>
      </c>
      <c r="F1912" s="567">
        <v>1</v>
      </c>
      <c r="G1912" s="662">
        <v>0</v>
      </c>
      <c r="H1912" s="662">
        <v>86930.296025855074</v>
      </c>
      <c r="I1912" s="662">
        <v>89188.644278206251</v>
      </c>
      <c r="J1912" s="662">
        <v>91565.854467628029</v>
      </c>
      <c r="K1912" s="568" t="s">
        <v>4928</v>
      </c>
      <c r="L1912" s="549"/>
      <c r="M1912" s="540"/>
      <c r="O1912" s="540"/>
      <c r="S1912" s="550"/>
      <c r="T1912" s="547"/>
      <c r="U1912" s="547"/>
      <c r="V1912" s="547"/>
      <c r="W1912" s="549"/>
    </row>
    <row r="1913" spans="1:23">
      <c r="A1913" s="565">
        <v>2607</v>
      </c>
      <c r="B1913" s="695" t="s">
        <v>7319</v>
      </c>
      <c r="C1913" s="566">
        <f t="shared" si="29"/>
        <v>2607</v>
      </c>
      <c r="D1913" s="699" t="s">
        <v>2241</v>
      </c>
      <c r="E1913" s="701" t="s">
        <v>9788</v>
      </c>
      <c r="F1913" s="567">
        <v>1</v>
      </c>
      <c r="G1913" s="662">
        <v>0</v>
      </c>
      <c r="H1913" s="662">
        <v>72349.99667016379</v>
      </c>
      <c r="I1913" s="662">
        <v>74219.495361870009</v>
      </c>
      <c r="J1913" s="662">
        <v>76187.412765342393</v>
      </c>
      <c r="K1913" s="568" t="s">
        <v>4929</v>
      </c>
      <c r="L1913" s="549"/>
      <c r="M1913" s="540"/>
      <c r="O1913" s="540"/>
      <c r="S1913" s="550"/>
      <c r="T1913" s="547"/>
      <c r="U1913" s="547"/>
      <c r="V1913" s="547"/>
      <c r="W1913" s="549"/>
    </row>
    <row r="1914" spans="1:23">
      <c r="A1914" s="565">
        <v>2608</v>
      </c>
      <c r="B1914" s="695" t="s">
        <v>7320</v>
      </c>
      <c r="C1914" s="566">
        <f t="shared" si="29"/>
        <v>2608</v>
      </c>
      <c r="D1914" s="699" t="s">
        <v>2241</v>
      </c>
      <c r="E1914" s="701" t="s">
        <v>9789</v>
      </c>
      <c r="F1914" s="567">
        <v>1</v>
      </c>
      <c r="G1914" s="662">
        <v>92322.676906219625</v>
      </c>
      <c r="H1914" s="662">
        <v>0</v>
      </c>
      <c r="I1914" s="662">
        <v>0</v>
      </c>
      <c r="J1914" s="662">
        <v>0</v>
      </c>
      <c r="K1914" s="568" t="s">
        <v>5342</v>
      </c>
      <c r="L1914" s="549"/>
      <c r="M1914" s="540"/>
      <c r="O1914" s="540"/>
      <c r="S1914" s="550"/>
      <c r="T1914" s="547"/>
      <c r="U1914" s="547"/>
      <c r="V1914" s="547"/>
      <c r="W1914" s="549"/>
    </row>
    <row r="1915" spans="1:23">
      <c r="A1915" s="565">
        <v>2609</v>
      </c>
      <c r="B1915" s="695" t="s">
        <v>7321</v>
      </c>
      <c r="C1915" s="566">
        <f t="shared" si="29"/>
        <v>2609</v>
      </c>
      <c r="D1915" s="699" t="s">
        <v>2241</v>
      </c>
      <c r="E1915" s="701" t="s">
        <v>9790</v>
      </c>
      <c r="F1915" s="567">
        <v>1</v>
      </c>
      <c r="G1915" s="662">
        <v>0</v>
      </c>
      <c r="H1915" s="662">
        <v>80106.715927391546</v>
      </c>
      <c r="I1915" s="662">
        <v>82183.07379134775</v>
      </c>
      <c r="J1915" s="662">
        <v>84368.728675507271</v>
      </c>
      <c r="K1915" s="568" t="s">
        <v>4930</v>
      </c>
      <c r="L1915" s="549"/>
      <c r="M1915" s="540"/>
      <c r="O1915" s="540"/>
      <c r="S1915" s="550"/>
      <c r="T1915" s="547"/>
      <c r="U1915" s="547"/>
      <c r="V1915" s="547"/>
      <c r="W1915" s="549"/>
    </row>
    <row r="1916" spans="1:23">
      <c r="A1916" s="565">
        <v>2610</v>
      </c>
      <c r="B1916" s="695" t="s">
        <v>7322</v>
      </c>
      <c r="C1916" s="566">
        <f t="shared" si="29"/>
        <v>2610</v>
      </c>
      <c r="D1916" s="699" t="s">
        <v>2241</v>
      </c>
      <c r="E1916" s="701" t="s">
        <v>9791</v>
      </c>
      <c r="F1916" s="567">
        <v>1</v>
      </c>
      <c r="G1916" s="662">
        <v>0</v>
      </c>
      <c r="H1916" s="662">
        <v>0</v>
      </c>
      <c r="I1916" s="662">
        <v>74198.52505804188</v>
      </c>
      <c r="J1916" s="662">
        <v>76117.333037598422</v>
      </c>
      <c r="K1916" s="568" t="s">
        <v>4168</v>
      </c>
      <c r="L1916" s="549"/>
      <c r="M1916" s="540"/>
      <c r="O1916" s="540"/>
      <c r="S1916" s="550"/>
      <c r="T1916" s="547"/>
      <c r="U1916" s="547"/>
      <c r="V1916" s="547"/>
      <c r="W1916" s="549"/>
    </row>
    <row r="1917" spans="1:23">
      <c r="A1917" s="565">
        <v>2611</v>
      </c>
      <c r="B1917" s="696" t="s">
        <v>7323</v>
      </c>
      <c r="C1917" s="566">
        <f t="shared" si="29"/>
        <v>2611</v>
      </c>
      <c r="D1917" s="700" t="s">
        <v>2242</v>
      </c>
      <c r="E1917" s="701" t="s">
        <v>9792</v>
      </c>
      <c r="F1917" s="566">
        <v>1</v>
      </c>
      <c r="G1917" s="662">
        <v>0</v>
      </c>
      <c r="H1917" s="662">
        <v>0</v>
      </c>
      <c r="I1917" s="662">
        <v>0</v>
      </c>
      <c r="J1917" s="662">
        <v>13470.678459076657</v>
      </c>
      <c r="K1917" s="566" t="s">
        <v>4931</v>
      </c>
      <c r="L1917" s="549"/>
      <c r="M1917" s="540"/>
      <c r="O1917" s="540"/>
      <c r="S1917" s="550"/>
      <c r="T1917" s="547"/>
      <c r="U1917" s="547"/>
      <c r="V1917" s="547"/>
      <c r="W1917" s="549"/>
    </row>
    <row r="1918" spans="1:23">
      <c r="A1918" s="565">
        <v>2612</v>
      </c>
      <c r="B1918" s="695" t="s">
        <v>7324</v>
      </c>
      <c r="C1918" s="566">
        <f t="shared" si="29"/>
        <v>2612</v>
      </c>
      <c r="D1918" s="699" t="s">
        <v>2242</v>
      </c>
      <c r="E1918" s="701" t="s">
        <v>9793</v>
      </c>
      <c r="F1918" s="567">
        <v>1</v>
      </c>
      <c r="G1918" s="662">
        <v>0</v>
      </c>
      <c r="H1918" s="662">
        <v>0</v>
      </c>
      <c r="I1918" s="662">
        <v>0</v>
      </c>
      <c r="J1918" s="662">
        <v>12635.373344821968</v>
      </c>
      <c r="K1918" s="568" t="s">
        <v>4932</v>
      </c>
      <c r="L1918" s="549"/>
      <c r="M1918" s="540"/>
      <c r="O1918" s="540"/>
      <c r="S1918" s="550"/>
      <c r="T1918" s="547"/>
      <c r="U1918" s="547"/>
      <c r="V1918" s="547"/>
      <c r="W1918" s="549"/>
    </row>
    <row r="1919" spans="1:23">
      <c r="A1919" s="565">
        <v>2613</v>
      </c>
      <c r="B1919" s="696" t="s">
        <v>7325</v>
      </c>
      <c r="C1919" s="566">
        <f t="shared" si="29"/>
        <v>2613</v>
      </c>
      <c r="D1919" s="700" t="s">
        <v>2242</v>
      </c>
      <c r="E1919" s="701" t="s">
        <v>9794</v>
      </c>
      <c r="F1919" s="566">
        <v>1</v>
      </c>
      <c r="G1919" s="662">
        <v>0</v>
      </c>
      <c r="H1919" s="662">
        <v>0</v>
      </c>
      <c r="I1919" s="662">
        <v>14763.021896465973</v>
      </c>
      <c r="J1919" s="662">
        <v>15127.248540238963</v>
      </c>
      <c r="K1919" s="566" t="s">
        <v>4169</v>
      </c>
      <c r="L1919" s="549"/>
      <c r="M1919" s="540"/>
      <c r="O1919" s="540"/>
      <c r="S1919" s="550"/>
      <c r="T1919" s="547"/>
      <c r="U1919" s="547"/>
      <c r="V1919" s="547"/>
      <c r="W1919" s="549"/>
    </row>
    <row r="1920" spans="1:23">
      <c r="A1920" s="565">
        <v>2614</v>
      </c>
      <c r="B1920" s="696" t="s">
        <v>7326</v>
      </c>
      <c r="C1920" s="566">
        <f t="shared" si="29"/>
        <v>2614</v>
      </c>
      <c r="D1920" s="700" t="s">
        <v>2242</v>
      </c>
      <c r="E1920" s="701" t="s">
        <v>9795</v>
      </c>
      <c r="F1920" s="566">
        <v>1</v>
      </c>
      <c r="G1920" s="662">
        <v>0</v>
      </c>
      <c r="H1920" s="662">
        <v>0</v>
      </c>
      <c r="I1920" s="662">
        <v>13902.597703330383</v>
      </c>
      <c r="J1920" s="662">
        <v>14241.705268222482</v>
      </c>
      <c r="K1920" s="566" t="s">
        <v>4170</v>
      </c>
      <c r="L1920" s="549"/>
      <c r="M1920" s="540"/>
      <c r="O1920" s="540"/>
      <c r="S1920" s="550"/>
      <c r="T1920" s="547"/>
      <c r="U1920" s="547"/>
      <c r="V1920" s="547"/>
      <c r="W1920" s="549"/>
    </row>
    <row r="1921" spans="1:23">
      <c r="A1921" s="565">
        <v>2615</v>
      </c>
      <c r="B1921" s="696" t="s">
        <v>7327</v>
      </c>
      <c r="C1921" s="566">
        <f t="shared" si="29"/>
        <v>2615</v>
      </c>
      <c r="D1921" s="700" t="s">
        <v>2242</v>
      </c>
      <c r="E1921" s="701" t="s">
        <v>9796</v>
      </c>
      <c r="F1921" s="566">
        <v>1</v>
      </c>
      <c r="G1921" s="662">
        <v>0</v>
      </c>
      <c r="H1921" s="662">
        <v>0</v>
      </c>
      <c r="I1921" s="662">
        <v>15241.03533709685</v>
      </c>
      <c r="J1921" s="662">
        <v>15619.217024692565</v>
      </c>
      <c r="K1921" s="566" t="s">
        <v>4171</v>
      </c>
      <c r="L1921" s="549"/>
      <c r="M1921" s="540"/>
      <c r="O1921" s="540"/>
      <c r="S1921" s="550"/>
      <c r="T1921" s="547"/>
      <c r="U1921" s="547"/>
      <c r="V1921" s="547"/>
      <c r="W1921" s="549"/>
    </row>
    <row r="1922" spans="1:23">
      <c r="A1922" s="565">
        <v>2616</v>
      </c>
      <c r="B1922" s="696" t="s">
        <v>7328</v>
      </c>
      <c r="C1922" s="566">
        <f t="shared" si="29"/>
        <v>2616</v>
      </c>
      <c r="D1922" s="700" t="s">
        <v>2242</v>
      </c>
      <c r="E1922" s="701" t="s">
        <v>9797</v>
      </c>
      <c r="F1922" s="566">
        <v>1</v>
      </c>
      <c r="G1922" s="662">
        <v>0</v>
      </c>
      <c r="H1922" s="662">
        <v>0</v>
      </c>
      <c r="I1922" s="662">
        <v>13711.392327078032</v>
      </c>
      <c r="J1922" s="662">
        <v>14044.91787444104</v>
      </c>
      <c r="K1922" s="566" t="s">
        <v>4172</v>
      </c>
      <c r="L1922" s="549"/>
      <c r="M1922" s="540"/>
      <c r="O1922" s="540"/>
      <c r="S1922" s="550"/>
      <c r="T1922" s="547"/>
      <c r="U1922" s="547"/>
      <c r="V1922" s="547"/>
      <c r="W1922" s="549"/>
    </row>
    <row r="1923" spans="1:23">
      <c r="A1923" s="565">
        <v>2617</v>
      </c>
      <c r="B1923" s="696" t="s">
        <v>7329</v>
      </c>
      <c r="C1923" s="566">
        <f t="shared" si="29"/>
        <v>2617</v>
      </c>
      <c r="D1923" s="700" t="s">
        <v>2242</v>
      </c>
      <c r="E1923" s="701" t="s">
        <v>9798</v>
      </c>
      <c r="F1923" s="566">
        <v>1</v>
      </c>
      <c r="G1923" s="662">
        <v>0</v>
      </c>
      <c r="H1923" s="662">
        <v>0</v>
      </c>
      <c r="I1923" s="662">
        <v>12707.564101753185</v>
      </c>
      <c r="J1923" s="662">
        <v>13011.784057088482</v>
      </c>
      <c r="K1923" s="566" t="s">
        <v>4173</v>
      </c>
      <c r="L1923" s="549"/>
      <c r="M1923" s="540"/>
      <c r="O1923" s="540"/>
      <c r="S1923" s="550"/>
      <c r="T1923" s="547"/>
      <c r="U1923" s="547"/>
      <c r="V1923" s="547"/>
      <c r="W1923" s="549"/>
    </row>
    <row r="1924" spans="1:23">
      <c r="A1924" s="565">
        <v>2618</v>
      </c>
      <c r="B1924" s="695" t="s">
        <v>7330</v>
      </c>
      <c r="C1924" s="566">
        <f t="shared" si="29"/>
        <v>2618</v>
      </c>
      <c r="D1924" s="699" t="s">
        <v>2242</v>
      </c>
      <c r="E1924" s="701" t="s">
        <v>9799</v>
      </c>
      <c r="F1924" s="567">
        <v>1</v>
      </c>
      <c r="G1924" s="662">
        <v>12823.691757421777</v>
      </c>
      <c r="H1924" s="662">
        <v>13173.424816183007</v>
      </c>
      <c r="I1924" s="662">
        <v>13523.157874944232</v>
      </c>
      <c r="J1924" s="662">
        <v>13891.296095177036</v>
      </c>
      <c r="K1924" s="568" t="s">
        <v>1373</v>
      </c>
      <c r="L1924" s="549"/>
      <c r="M1924" s="540"/>
      <c r="O1924" s="540"/>
      <c r="S1924" s="550"/>
      <c r="T1924" s="547"/>
      <c r="U1924" s="547"/>
      <c r="V1924" s="547"/>
      <c r="W1924" s="549"/>
    </row>
    <row r="1925" spans="1:23">
      <c r="A1925" s="565">
        <v>2619</v>
      </c>
      <c r="B1925" s="696" t="s">
        <v>7331</v>
      </c>
      <c r="C1925" s="566">
        <f t="shared" si="29"/>
        <v>2619</v>
      </c>
      <c r="D1925" s="700" t="s">
        <v>2242</v>
      </c>
      <c r="E1925" s="701" t="s">
        <v>9800</v>
      </c>
      <c r="F1925" s="566">
        <v>1</v>
      </c>
      <c r="G1925" s="662">
        <v>15417.046317411536</v>
      </c>
      <c r="H1925" s="662">
        <v>15852.856747313594</v>
      </c>
      <c r="I1925" s="662">
        <v>16288.667177215653</v>
      </c>
      <c r="J1925" s="662">
        <v>16747.431572755268</v>
      </c>
      <c r="K1925" s="566" t="s">
        <v>1374</v>
      </c>
      <c r="L1925" s="549"/>
      <c r="M1925" s="540"/>
      <c r="O1925" s="540"/>
      <c r="S1925" s="550"/>
      <c r="T1925" s="547"/>
      <c r="U1925" s="547"/>
      <c r="V1925" s="547"/>
      <c r="W1925" s="549"/>
    </row>
    <row r="1926" spans="1:23">
      <c r="A1926" s="565">
        <v>2620</v>
      </c>
      <c r="B1926" s="695" t="s">
        <v>7332</v>
      </c>
      <c r="C1926" s="566">
        <f t="shared" si="29"/>
        <v>2620</v>
      </c>
      <c r="D1926" s="699" t="s">
        <v>2242</v>
      </c>
      <c r="E1926" s="701" t="s">
        <v>9801</v>
      </c>
      <c r="F1926" s="567">
        <v>1</v>
      </c>
      <c r="G1926" s="662">
        <v>16249.871562286287</v>
      </c>
      <c r="H1926" s="662">
        <v>16713.324725196995</v>
      </c>
      <c r="I1926" s="662">
        <v>17176.777888107688</v>
      </c>
      <c r="J1926" s="662">
        <v>17664.619639508299</v>
      </c>
      <c r="K1926" s="568" t="s">
        <v>1375</v>
      </c>
      <c r="L1926" s="549"/>
      <c r="M1926" s="540"/>
      <c r="O1926" s="540"/>
      <c r="S1926" s="550"/>
      <c r="T1926" s="547"/>
      <c r="U1926" s="547"/>
      <c r="V1926" s="547"/>
      <c r="W1926" s="549"/>
    </row>
    <row r="1927" spans="1:23">
      <c r="A1927" s="565">
        <v>2621</v>
      </c>
      <c r="B1927" s="695" t="s">
        <v>7333</v>
      </c>
      <c r="C1927" s="566">
        <f t="shared" si="29"/>
        <v>2621</v>
      </c>
      <c r="D1927" s="699" t="s">
        <v>2242</v>
      </c>
      <c r="E1927" s="701" t="s">
        <v>9802</v>
      </c>
      <c r="F1927" s="567">
        <v>1</v>
      </c>
      <c r="G1927" s="662">
        <v>14014.948120343899</v>
      </c>
      <c r="H1927" s="662">
        <v>14404.220784547868</v>
      </c>
      <c r="I1927" s="662">
        <v>14793.493448751829</v>
      </c>
      <c r="J1927" s="662">
        <v>15203.270722503989</v>
      </c>
      <c r="K1927" s="568" t="s">
        <v>1376</v>
      </c>
      <c r="L1927" s="549"/>
      <c r="M1927" s="540"/>
      <c r="O1927" s="540"/>
      <c r="S1927" s="550"/>
      <c r="T1927" s="547"/>
      <c r="U1927" s="547"/>
      <c r="V1927" s="547"/>
      <c r="W1927" s="549"/>
    </row>
    <row r="1928" spans="1:23">
      <c r="A1928" s="565">
        <v>2622</v>
      </c>
      <c r="B1928" s="696" t="s">
        <v>7334</v>
      </c>
      <c r="C1928" s="566">
        <f t="shared" si="29"/>
        <v>2622</v>
      </c>
      <c r="D1928" s="700" t="s">
        <v>2242</v>
      </c>
      <c r="E1928" s="701" t="s">
        <v>9803</v>
      </c>
      <c r="F1928" s="566">
        <v>1</v>
      </c>
      <c r="G1928" s="662">
        <v>0</v>
      </c>
      <c r="H1928" s="662">
        <v>0</v>
      </c>
      <c r="I1928" s="662">
        <v>15121.867749607818</v>
      </c>
      <c r="J1928" s="662">
        <v>15525.451651533982</v>
      </c>
      <c r="K1928" s="566" t="s">
        <v>4174</v>
      </c>
      <c r="L1928" s="549"/>
      <c r="M1928" s="540"/>
      <c r="O1928" s="540"/>
      <c r="S1928" s="550"/>
      <c r="T1928" s="547"/>
      <c r="U1928" s="547"/>
      <c r="V1928" s="547"/>
      <c r="W1928" s="549"/>
    </row>
    <row r="1929" spans="1:23">
      <c r="A1929" s="565">
        <v>2623</v>
      </c>
      <c r="B1929" s="696" t="s">
        <v>7335</v>
      </c>
      <c r="C1929" s="566">
        <f t="shared" ref="C1929:C1992" si="30">A1929</f>
        <v>2623</v>
      </c>
      <c r="D1929" s="700" t="s">
        <v>2242</v>
      </c>
      <c r="E1929" s="701" t="s">
        <v>9804</v>
      </c>
      <c r="F1929" s="566">
        <v>1</v>
      </c>
      <c r="G1929" s="662">
        <v>0</v>
      </c>
      <c r="H1929" s="662">
        <v>18788.250671865189</v>
      </c>
      <c r="I1929" s="662">
        <v>0</v>
      </c>
      <c r="J1929" s="662">
        <v>19876.359619168634</v>
      </c>
      <c r="K1929" s="566" t="s">
        <v>3212</v>
      </c>
      <c r="L1929" s="549"/>
      <c r="M1929" s="540"/>
      <c r="O1929" s="540"/>
      <c r="S1929" s="550"/>
      <c r="T1929" s="547"/>
      <c r="U1929" s="547"/>
      <c r="V1929" s="547"/>
      <c r="W1929" s="549"/>
    </row>
    <row r="1930" spans="1:23">
      <c r="A1930" s="565">
        <v>2624</v>
      </c>
      <c r="B1930" s="696" t="s">
        <v>7336</v>
      </c>
      <c r="C1930" s="566">
        <f t="shared" si="30"/>
        <v>2624</v>
      </c>
      <c r="D1930" s="700" t="s">
        <v>2242</v>
      </c>
      <c r="E1930" s="701" t="s">
        <v>9805</v>
      </c>
      <c r="F1930" s="566">
        <v>1</v>
      </c>
      <c r="G1930" s="662">
        <v>0</v>
      </c>
      <c r="H1930" s="662">
        <v>0</v>
      </c>
      <c r="I1930" s="662">
        <v>13319.214767607327</v>
      </c>
      <c r="J1930" s="662">
        <v>13697.914448348911</v>
      </c>
      <c r="K1930" s="566" t="s">
        <v>4175</v>
      </c>
      <c r="L1930" s="549"/>
      <c r="M1930" s="540"/>
      <c r="O1930" s="540"/>
      <c r="S1930" s="550"/>
      <c r="T1930" s="547"/>
      <c r="U1930" s="547"/>
      <c r="V1930" s="547"/>
      <c r="W1930" s="549"/>
    </row>
    <row r="1931" spans="1:23">
      <c r="A1931" s="565">
        <v>2625</v>
      </c>
      <c r="B1931" s="696" t="s">
        <v>7337</v>
      </c>
      <c r="C1931" s="566">
        <f t="shared" si="30"/>
        <v>2625</v>
      </c>
      <c r="D1931" s="700" t="s">
        <v>2242</v>
      </c>
      <c r="E1931" s="701" t="s">
        <v>9806</v>
      </c>
      <c r="F1931" s="566">
        <v>2</v>
      </c>
      <c r="G1931" s="662">
        <v>12505.573747361201</v>
      </c>
      <c r="H1931" s="662">
        <v>12922.541379622828</v>
      </c>
      <c r="I1931" s="662">
        <v>13361.452115985967</v>
      </c>
      <c r="J1931" s="662">
        <v>13823.473660438291</v>
      </c>
      <c r="K1931" s="566" t="s">
        <v>1377</v>
      </c>
      <c r="L1931" s="549"/>
      <c r="M1931" s="540"/>
      <c r="O1931" s="540"/>
      <c r="S1931" s="550"/>
      <c r="T1931" s="547"/>
      <c r="U1931" s="547"/>
      <c r="V1931" s="547"/>
      <c r="W1931" s="549"/>
    </row>
    <row r="1932" spans="1:23">
      <c r="A1932" s="565">
        <v>2626</v>
      </c>
      <c r="B1932" s="696" t="s">
        <v>7338</v>
      </c>
      <c r="C1932" s="566">
        <f t="shared" si="30"/>
        <v>2626</v>
      </c>
      <c r="D1932" s="700" t="s">
        <v>2242</v>
      </c>
      <c r="E1932" s="701" t="s">
        <v>9807</v>
      </c>
      <c r="F1932" s="566">
        <v>2</v>
      </c>
      <c r="G1932" s="662">
        <v>13192.179295253289</v>
      </c>
      <c r="H1932" s="662">
        <v>13627.489610987797</v>
      </c>
      <c r="I1932" s="662">
        <v>14085.716117480211</v>
      </c>
      <c r="J1932" s="662">
        <v>14568.075173051013</v>
      </c>
      <c r="K1932" s="566" t="s">
        <v>1378</v>
      </c>
      <c r="L1932" s="549"/>
      <c r="M1932" s="540"/>
      <c r="O1932" s="540"/>
      <c r="S1932" s="550"/>
      <c r="T1932" s="547"/>
      <c r="U1932" s="547"/>
      <c r="V1932" s="547"/>
      <c r="W1932" s="549"/>
    </row>
    <row r="1933" spans="1:23">
      <c r="A1933" s="565">
        <v>2627</v>
      </c>
      <c r="B1933" s="695" t="s">
        <v>7339</v>
      </c>
      <c r="C1933" s="566">
        <f t="shared" si="30"/>
        <v>2627</v>
      </c>
      <c r="D1933" s="699" t="s">
        <v>2242</v>
      </c>
      <c r="E1933" s="701" t="s">
        <v>9808</v>
      </c>
      <c r="F1933" s="567">
        <v>2</v>
      </c>
      <c r="G1933" s="662">
        <v>13211.184421349006</v>
      </c>
      <c r="H1933" s="662">
        <v>13661.285654260593</v>
      </c>
      <c r="I1933" s="662">
        <v>14135.032892922369</v>
      </c>
      <c r="J1933" s="662">
        <v>14633.739804320461</v>
      </c>
      <c r="K1933" s="568" t="s">
        <v>1379</v>
      </c>
      <c r="L1933" s="549"/>
      <c r="M1933" s="540"/>
      <c r="O1933" s="540"/>
      <c r="S1933" s="550"/>
      <c r="T1933" s="547"/>
      <c r="U1933" s="547"/>
      <c r="V1933" s="547"/>
      <c r="W1933" s="549"/>
    </row>
    <row r="1934" spans="1:23">
      <c r="A1934" s="565">
        <v>2628</v>
      </c>
      <c r="B1934" s="695" t="s">
        <v>7340</v>
      </c>
      <c r="C1934" s="566">
        <f t="shared" si="30"/>
        <v>2628</v>
      </c>
      <c r="D1934" s="699" t="s">
        <v>2242</v>
      </c>
      <c r="E1934" s="701" t="s">
        <v>9809</v>
      </c>
      <c r="F1934" s="567">
        <v>2</v>
      </c>
      <c r="G1934" s="662">
        <v>14037.270383988658</v>
      </c>
      <c r="H1934" s="662">
        <v>14511.017622650435</v>
      </c>
      <c r="I1934" s="662">
        <v>15009.675879715711</v>
      </c>
      <c r="J1934" s="662">
        <v>15534.607476503417</v>
      </c>
      <c r="K1934" s="568" t="s">
        <v>1380</v>
      </c>
      <c r="L1934" s="549"/>
      <c r="M1934" s="540"/>
      <c r="O1934" s="540"/>
      <c r="S1934" s="550"/>
      <c r="T1934" s="547"/>
      <c r="U1934" s="547"/>
      <c r="V1934" s="547"/>
      <c r="W1934" s="549"/>
    </row>
    <row r="1935" spans="1:23">
      <c r="A1935" s="565">
        <v>2629</v>
      </c>
      <c r="B1935" s="695" t="s">
        <v>7341</v>
      </c>
      <c r="C1935" s="566">
        <f t="shared" si="30"/>
        <v>2629</v>
      </c>
      <c r="D1935" s="699" t="s">
        <v>2242</v>
      </c>
      <c r="E1935" s="701" t="s">
        <v>9810</v>
      </c>
      <c r="F1935" s="567">
        <v>1</v>
      </c>
      <c r="G1935" s="662">
        <v>0</v>
      </c>
      <c r="H1935" s="662">
        <v>0</v>
      </c>
      <c r="I1935" s="662">
        <v>14308.980886857587</v>
      </c>
      <c r="J1935" s="662">
        <v>14721.655546967208</v>
      </c>
      <c r="K1935" s="568" t="s">
        <v>4176</v>
      </c>
      <c r="L1935" s="549"/>
      <c r="M1935" s="540"/>
      <c r="O1935" s="540"/>
      <c r="S1935" s="550"/>
      <c r="T1935" s="547"/>
      <c r="U1935" s="547"/>
      <c r="V1935" s="547"/>
      <c r="W1935" s="549"/>
    </row>
    <row r="1936" spans="1:23">
      <c r="A1936" s="565">
        <v>2630</v>
      </c>
      <c r="B1936" s="695" t="s">
        <v>7342</v>
      </c>
      <c r="C1936" s="566">
        <f t="shared" si="30"/>
        <v>2630</v>
      </c>
      <c r="D1936" s="699" t="s">
        <v>2242</v>
      </c>
      <c r="E1936" s="701" t="s">
        <v>9811</v>
      </c>
      <c r="F1936" s="567">
        <v>1</v>
      </c>
      <c r="G1936" s="662">
        <v>20759.636621094251</v>
      </c>
      <c r="H1936" s="662">
        <v>0</v>
      </c>
      <c r="I1936" s="662">
        <v>0</v>
      </c>
      <c r="J1936" s="662">
        <v>0</v>
      </c>
      <c r="K1936" s="568" t="s">
        <v>5343</v>
      </c>
      <c r="L1936" s="549"/>
      <c r="M1936" s="540"/>
      <c r="O1936" s="540"/>
      <c r="S1936" s="550"/>
      <c r="T1936" s="547"/>
      <c r="U1936" s="547"/>
      <c r="V1936" s="547"/>
      <c r="W1936" s="549"/>
    </row>
    <row r="1937" spans="1:23">
      <c r="A1937" s="565">
        <v>2631</v>
      </c>
      <c r="B1937" s="696" t="s">
        <v>7343</v>
      </c>
      <c r="C1937" s="566">
        <f t="shared" si="30"/>
        <v>2631</v>
      </c>
      <c r="D1937" s="700" t="s">
        <v>2242</v>
      </c>
      <c r="E1937" s="701" t="s">
        <v>9812</v>
      </c>
      <c r="F1937" s="566">
        <v>1</v>
      </c>
      <c r="G1937" s="662">
        <v>18177.453143851282</v>
      </c>
      <c r="H1937" s="662">
        <v>0</v>
      </c>
      <c r="I1937" s="662">
        <v>0</v>
      </c>
      <c r="J1937" s="662">
        <v>0</v>
      </c>
      <c r="K1937" s="566" t="s">
        <v>5344</v>
      </c>
      <c r="L1937" s="549"/>
      <c r="M1937" s="540"/>
      <c r="O1937" s="540"/>
      <c r="S1937" s="550"/>
      <c r="T1937" s="547"/>
      <c r="U1937" s="547"/>
      <c r="V1937" s="547"/>
      <c r="W1937" s="549"/>
    </row>
    <row r="1938" spans="1:23">
      <c r="A1938" s="565">
        <v>2632</v>
      </c>
      <c r="B1938" s="696" t="s">
        <v>7344</v>
      </c>
      <c r="C1938" s="566">
        <f t="shared" si="30"/>
        <v>2632</v>
      </c>
      <c r="D1938" s="700" t="s">
        <v>2242</v>
      </c>
      <c r="E1938" s="701" t="s">
        <v>9813</v>
      </c>
      <c r="F1938" s="566">
        <v>1</v>
      </c>
      <c r="G1938" s="662">
        <v>16406.366599818324</v>
      </c>
      <c r="H1938" s="662">
        <v>16827.948473702698</v>
      </c>
      <c r="I1938" s="662">
        <v>17271.718867265194</v>
      </c>
      <c r="J1938" s="662">
        <v>17738.850004186923</v>
      </c>
      <c r="K1938" s="566" t="s">
        <v>1381</v>
      </c>
      <c r="L1938" s="549"/>
      <c r="M1938" s="540"/>
      <c r="O1938" s="540"/>
      <c r="S1938" s="550"/>
      <c r="T1938" s="547"/>
      <c r="U1938" s="547"/>
      <c r="V1938" s="547"/>
      <c r="W1938" s="549"/>
    </row>
    <row r="1939" spans="1:23">
      <c r="A1939" s="565">
        <v>2633</v>
      </c>
      <c r="B1939" s="696" t="s">
        <v>7345</v>
      </c>
      <c r="C1939" s="566">
        <f t="shared" si="30"/>
        <v>2633</v>
      </c>
      <c r="D1939" s="700" t="s">
        <v>2242</v>
      </c>
      <c r="E1939" s="701" t="s">
        <v>9814</v>
      </c>
      <c r="F1939" s="566">
        <v>1</v>
      </c>
      <c r="G1939" s="662">
        <v>17144.319326498728</v>
      </c>
      <c r="H1939" s="662">
        <v>17587.950169622996</v>
      </c>
      <c r="I1939" s="662">
        <v>18054.913846018848</v>
      </c>
      <c r="J1939" s="662">
        <v>18546.466309630337</v>
      </c>
      <c r="K1939" s="566" t="s">
        <v>1382</v>
      </c>
      <c r="L1939" s="549"/>
      <c r="M1939" s="540"/>
      <c r="O1939" s="540"/>
      <c r="S1939" s="550"/>
      <c r="T1939" s="547"/>
      <c r="U1939" s="547"/>
      <c r="V1939" s="547"/>
      <c r="W1939" s="549"/>
    </row>
    <row r="1940" spans="1:23">
      <c r="A1940" s="565">
        <v>2634</v>
      </c>
      <c r="B1940" s="696" t="s">
        <v>7346</v>
      </c>
      <c r="C1940" s="566">
        <f t="shared" si="30"/>
        <v>2634</v>
      </c>
      <c r="D1940" s="700" t="s">
        <v>2242</v>
      </c>
      <c r="E1940" s="701" t="s">
        <v>9815</v>
      </c>
      <c r="F1940" s="566">
        <v>1</v>
      </c>
      <c r="G1940" s="662">
        <v>15028.854843348243</v>
      </c>
      <c r="H1940" s="662">
        <v>15409.325158130885</v>
      </c>
      <c r="I1940" s="662">
        <v>15809.807005755303</v>
      </c>
      <c r="J1940" s="662">
        <v>16231.360969552028</v>
      </c>
      <c r="K1940" s="566" t="s">
        <v>1383</v>
      </c>
      <c r="L1940" s="549"/>
      <c r="M1940" s="540"/>
      <c r="O1940" s="540"/>
      <c r="S1940" s="550"/>
      <c r="T1940" s="547"/>
      <c r="U1940" s="547"/>
      <c r="V1940" s="547"/>
      <c r="W1940" s="549"/>
    </row>
    <row r="1941" spans="1:23">
      <c r="A1941" s="565">
        <v>2635</v>
      </c>
      <c r="B1941" s="696" t="s">
        <v>7347</v>
      </c>
      <c r="C1941" s="566">
        <f t="shared" si="30"/>
        <v>2635</v>
      </c>
      <c r="D1941" s="700" t="s">
        <v>2242</v>
      </c>
      <c r="E1941" s="701" t="s">
        <v>9816</v>
      </c>
      <c r="F1941" s="566">
        <v>1</v>
      </c>
      <c r="G1941" s="662">
        <v>0</v>
      </c>
      <c r="H1941" s="662">
        <v>0</v>
      </c>
      <c r="I1941" s="662">
        <v>0</v>
      </c>
      <c r="J1941" s="662">
        <v>20385.148571518243</v>
      </c>
      <c r="K1941" s="566" t="s">
        <v>4933</v>
      </c>
      <c r="L1941" s="549"/>
      <c r="M1941" s="540"/>
      <c r="O1941" s="540"/>
      <c r="S1941" s="550"/>
      <c r="T1941" s="547"/>
      <c r="U1941" s="547"/>
      <c r="V1941" s="547"/>
      <c r="W1941" s="549"/>
    </row>
    <row r="1942" spans="1:23">
      <c r="A1942" s="565">
        <v>2636</v>
      </c>
      <c r="B1942" s="696" t="s">
        <v>7348</v>
      </c>
      <c r="C1942" s="566">
        <f t="shared" si="30"/>
        <v>2636</v>
      </c>
      <c r="D1942" s="700" t="s">
        <v>2242</v>
      </c>
      <c r="E1942" s="701" t="s">
        <v>9817</v>
      </c>
      <c r="F1942" s="566">
        <v>1</v>
      </c>
      <c r="G1942" s="662">
        <v>15725.647927435653</v>
      </c>
      <c r="H1942" s="662">
        <v>16016.539307266861</v>
      </c>
      <c r="I1942" s="662">
        <v>16322.730543098663</v>
      </c>
      <c r="J1942" s="662">
        <v>16645.051038889556</v>
      </c>
      <c r="K1942" s="566" t="s">
        <v>1384</v>
      </c>
      <c r="L1942" s="549"/>
      <c r="M1942" s="540"/>
      <c r="O1942" s="540"/>
      <c r="S1942" s="550"/>
      <c r="T1942" s="547"/>
      <c r="U1942" s="547"/>
      <c r="V1942" s="547"/>
      <c r="W1942" s="549"/>
    </row>
    <row r="1943" spans="1:23">
      <c r="A1943" s="565">
        <v>2637</v>
      </c>
      <c r="B1943" s="696" t="s">
        <v>7349</v>
      </c>
      <c r="C1943" s="566">
        <f t="shared" si="30"/>
        <v>2637</v>
      </c>
      <c r="D1943" s="700" t="s">
        <v>2242</v>
      </c>
      <c r="E1943" s="701" t="s">
        <v>9818</v>
      </c>
      <c r="F1943" s="566">
        <v>1</v>
      </c>
      <c r="G1943" s="662">
        <v>13795.702357774</v>
      </c>
      <c r="H1943" s="662">
        <v>0</v>
      </c>
      <c r="I1943" s="662">
        <v>0</v>
      </c>
      <c r="J1943" s="662">
        <v>0</v>
      </c>
      <c r="K1943" s="566" t="s">
        <v>5345</v>
      </c>
      <c r="L1943" s="549"/>
      <c r="M1943" s="540"/>
      <c r="O1943" s="540"/>
      <c r="S1943" s="550"/>
      <c r="T1943" s="547"/>
      <c r="U1943" s="547"/>
      <c r="V1943" s="547"/>
      <c r="W1943" s="549"/>
    </row>
    <row r="1944" spans="1:23">
      <c r="A1944" s="565">
        <v>2638</v>
      </c>
      <c r="B1944" s="696" t="s">
        <v>7350</v>
      </c>
      <c r="C1944" s="566">
        <f t="shared" si="30"/>
        <v>2638</v>
      </c>
      <c r="D1944" s="700" t="s">
        <v>2242</v>
      </c>
      <c r="E1944" s="701" t="s">
        <v>9819</v>
      </c>
      <c r="F1944" s="566">
        <v>1</v>
      </c>
      <c r="G1944" s="662">
        <v>0</v>
      </c>
      <c r="H1944" s="662">
        <v>0</v>
      </c>
      <c r="I1944" s="662">
        <v>0</v>
      </c>
      <c r="J1944" s="662">
        <v>17656.50666758445</v>
      </c>
      <c r="K1944" s="566" t="s">
        <v>4934</v>
      </c>
      <c r="L1944" s="549"/>
      <c r="M1944" s="540"/>
      <c r="O1944" s="540"/>
      <c r="S1944" s="550"/>
      <c r="T1944" s="547"/>
      <c r="U1944" s="547"/>
      <c r="V1944" s="547"/>
      <c r="W1944" s="549"/>
    </row>
    <row r="1945" spans="1:23">
      <c r="A1945" s="565">
        <v>2639</v>
      </c>
      <c r="B1945" s="696" t="s">
        <v>7351</v>
      </c>
      <c r="C1945" s="566">
        <f t="shared" si="30"/>
        <v>2639</v>
      </c>
      <c r="D1945" s="700" t="s">
        <v>2242</v>
      </c>
      <c r="E1945" s="701" t="s">
        <v>9820</v>
      </c>
      <c r="F1945" s="566">
        <v>1</v>
      </c>
      <c r="G1945" s="662">
        <v>8836.3538612554312</v>
      </c>
      <c r="H1945" s="662">
        <v>0</v>
      </c>
      <c r="I1945" s="662">
        <v>0</v>
      </c>
      <c r="J1945" s="662">
        <v>0</v>
      </c>
      <c r="K1945" s="566" t="s">
        <v>5346</v>
      </c>
      <c r="L1945" s="549"/>
      <c r="M1945" s="540"/>
      <c r="O1945" s="540"/>
      <c r="S1945" s="550"/>
      <c r="T1945" s="547"/>
      <c r="U1945" s="547"/>
      <c r="V1945" s="547"/>
      <c r="W1945" s="549"/>
    </row>
    <row r="1946" spans="1:23">
      <c r="A1946" s="565">
        <v>2640</v>
      </c>
      <c r="B1946" s="696" t="s">
        <v>7352</v>
      </c>
      <c r="C1946" s="566">
        <f t="shared" si="30"/>
        <v>2640</v>
      </c>
      <c r="D1946" s="700" t="s">
        <v>2242</v>
      </c>
      <c r="E1946" s="701" t="s">
        <v>9821</v>
      </c>
      <c r="F1946" s="566">
        <v>1</v>
      </c>
      <c r="G1946" s="662">
        <v>9409.1021516583369</v>
      </c>
      <c r="H1946" s="662">
        <v>0</v>
      </c>
      <c r="I1946" s="662">
        <v>0</v>
      </c>
      <c r="J1946" s="662">
        <v>0</v>
      </c>
      <c r="K1946" s="566" t="s">
        <v>5347</v>
      </c>
      <c r="L1946" s="549"/>
      <c r="M1946" s="540"/>
      <c r="O1946" s="540"/>
      <c r="S1946" s="550"/>
      <c r="T1946" s="547"/>
      <c r="U1946" s="547"/>
      <c r="V1946" s="547"/>
      <c r="W1946" s="549"/>
    </row>
    <row r="1947" spans="1:23">
      <c r="A1947" s="565">
        <v>2641</v>
      </c>
      <c r="B1947" s="696" t="s">
        <v>7353</v>
      </c>
      <c r="C1947" s="566">
        <f t="shared" si="30"/>
        <v>2641</v>
      </c>
      <c r="D1947" s="700" t="s">
        <v>2242</v>
      </c>
      <c r="E1947" s="701" t="s">
        <v>9822</v>
      </c>
      <c r="F1947" s="566">
        <v>1</v>
      </c>
      <c r="G1947" s="662">
        <v>11636.456614336295</v>
      </c>
      <c r="H1947" s="662">
        <v>11851.336334390833</v>
      </c>
      <c r="I1947" s="662">
        <v>12077.502419775523</v>
      </c>
      <c r="J1947" s="662">
        <v>12315.588662063967</v>
      </c>
      <c r="K1947" s="566" t="s">
        <v>1385</v>
      </c>
      <c r="L1947" s="549"/>
      <c r="M1947" s="540"/>
      <c r="O1947" s="540"/>
      <c r="S1947" s="550"/>
      <c r="T1947" s="547"/>
      <c r="U1947" s="547"/>
      <c r="V1947" s="547"/>
      <c r="W1947" s="549"/>
    </row>
    <row r="1948" spans="1:23">
      <c r="A1948" s="565">
        <v>2642</v>
      </c>
      <c r="B1948" s="696" t="s">
        <v>7354</v>
      </c>
      <c r="C1948" s="566">
        <f t="shared" si="30"/>
        <v>2642</v>
      </c>
      <c r="D1948" s="700" t="s">
        <v>2242</v>
      </c>
      <c r="E1948" s="701" t="s">
        <v>9823</v>
      </c>
      <c r="F1948" s="566">
        <v>1</v>
      </c>
      <c r="G1948" s="662">
        <v>10819.759978021044</v>
      </c>
      <c r="H1948" s="662">
        <v>11015.869716856978</v>
      </c>
      <c r="I1948" s="662">
        <v>11222.290757063653</v>
      </c>
      <c r="J1948" s="662">
        <v>11439.583760417727</v>
      </c>
      <c r="K1948" s="566" t="s">
        <v>1386</v>
      </c>
      <c r="L1948" s="549"/>
      <c r="M1948" s="540"/>
      <c r="O1948" s="540"/>
      <c r="S1948" s="550"/>
      <c r="T1948" s="547"/>
      <c r="U1948" s="547"/>
      <c r="V1948" s="547"/>
      <c r="W1948" s="549"/>
    </row>
    <row r="1949" spans="1:23">
      <c r="A1949" s="565">
        <v>2643</v>
      </c>
      <c r="B1949" s="695" t="s">
        <v>7355</v>
      </c>
      <c r="C1949" s="566">
        <f t="shared" si="30"/>
        <v>2643</v>
      </c>
      <c r="D1949" s="699" t="s">
        <v>2242</v>
      </c>
      <c r="E1949" s="701" t="s">
        <v>9824</v>
      </c>
      <c r="F1949" s="567">
        <v>1</v>
      </c>
      <c r="G1949" s="662">
        <v>9971.2439922389622</v>
      </c>
      <c r="H1949" s="662">
        <v>10147.85245188674</v>
      </c>
      <c r="I1949" s="662">
        <v>10333.748395747876</v>
      </c>
      <c r="J1949" s="662">
        <v>10529.419355802076</v>
      </c>
      <c r="K1949" s="568" t="s">
        <v>1387</v>
      </c>
      <c r="L1949" s="549"/>
      <c r="M1949" s="540"/>
      <c r="O1949" s="540"/>
      <c r="S1949" s="550"/>
      <c r="T1949" s="547"/>
      <c r="U1949" s="547"/>
      <c r="V1949" s="547"/>
      <c r="W1949" s="549"/>
    </row>
    <row r="1950" spans="1:23">
      <c r="A1950" s="565">
        <v>2644</v>
      </c>
      <c r="B1950" s="695" t="s">
        <v>7356</v>
      </c>
      <c r="C1950" s="566">
        <f t="shared" si="30"/>
        <v>2644</v>
      </c>
      <c r="D1950" s="699" t="s">
        <v>2242</v>
      </c>
      <c r="E1950" s="701" t="s">
        <v>9825</v>
      </c>
      <c r="F1950" s="567">
        <v>1</v>
      </c>
      <c r="G1950" s="662">
        <v>6862.9476805939794</v>
      </c>
      <c r="H1950" s="662">
        <v>6964.2011702057125</v>
      </c>
      <c r="I1950" s="662">
        <v>7065.4546598174484</v>
      </c>
      <c r="J1950" s="662">
        <v>7172.0418919322619</v>
      </c>
      <c r="K1950" s="568" t="s">
        <v>1388</v>
      </c>
      <c r="L1950" s="549"/>
      <c r="M1950" s="540"/>
      <c r="O1950" s="540"/>
      <c r="S1950" s="550"/>
      <c r="T1950" s="547"/>
      <c r="U1950" s="547"/>
      <c r="V1950" s="547"/>
      <c r="W1950" s="549"/>
    </row>
    <row r="1951" spans="1:23">
      <c r="A1951" s="565">
        <v>2645</v>
      </c>
      <c r="B1951" s="695" t="s">
        <v>7357</v>
      </c>
      <c r="C1951" s="566">
        <f t="shared" si="30"/>
        <v>2645</v>
      </c>
      <c r="D1951" s="699" t="s">
        <v>2242</v>
      </c>
      <c r="E1951" s="701" t="s">
        <v>9826</v>
      </c>
      <c r="F1951" s="567">
        <v>1</v>
      </c>
      <c r="G1951" s="662">
        <v>6454.5903866740182</v>
      </c>
      <c r="H1951" s="662">
        <v>6546.8082755361947</v>
      </c>
      <c r="I1951" s="662">
        <v>6639.0261643983713</v>
      </c>
      <c r="J1951" s="662">
        <v>6736.0958970569764</v>
      </c>
      <c r="K1951" s="568" t="s">
        <v>1389</v>
      </c>
      <c r="L1951" s="549"/>
      <c r="M1951" s="540"/>
      <c r="O1951" s="540"/>
      <c r="S1951" s="550"/>
      <c r="T1951" s="547"/>
      <c r="U1951" s="547"/>
      <c r="V1951" s="547"/>
      <c r="W1951" s="549"/>
    </row>
    <row r="1952" spans="1:23">
      <c r="A1952" s="565">
        <v>2646</v>
      </c>
      <c r="B1952" s="695" t="s">
        <v>7358</v>
      </c>
      <c r="C1952" s="566">
        <f t="shared" si="30"/>
        <v>2646</v>
      </c>
      <c r="D1952" s="699" t="s">
        <v>2242</v>
      </c>
      <c r="E1952" s="701" t="s">
        <v>9827</v>
      </c>
      <c r="F1952" s="567">
        <v>1</v>
      </c>
      <c r="G1952" s="662">
        <v>6434.7912451506263</v>
      </c>
      <c r="H1952" s="662">
        <v>6526.5710442794898</v>
      </c>
      <c r="I1952" s="662">
        <v>6618.3508434083533</v>
      </c>
      <c r="J1952" s="662">
        <v>6714.9605818469827</v>
      </c>
      <c r="K1952" s="568" t="s">
        <v>1390</v>
      </c>
      <c r="L1952" s="549"/>
      <c r="M1952" s="540"/>
      <c r="O1952" s="540"/>
      <c r="S1952" s="550"/>
      <c r="T1952" s="547"/>
      <c r="U1952" s="547"/>
      <c r="V1952" s="547"/>
      <c r="W1952" s="549"/>
    </row>
    <row r="1953" spans="1:23">
      <c r="A1953" s="565">
        <v>2647</v>
      </c>
      <c r="B1953" s="695" t="s">
        <v>7359</v>
      </c>
      <c r="C1953" s="566">
        <f t="shared" si="30"/>
        <v>2647</v>
      </c>
      <c r="D1953" s="699" t="s">
        <v>2242</v>
      </c>
      <c r="E1953" s="701" t="s">
        <v>9828</v>
      </c>
      <c r="F1953" s="567">
        <v>1</v>
      </c>
      <c r="G1953" s="662">
        <v>6120.4798734667766</v>
      </c>
      <c r="H1953" s="662">
        <v>6205.3049980793121</v>
      </c>
      <c r="I1953" s="662">
        <v>6290.1301226918522</v>
      </c>
      <c r="J1953" s="662">
        <v>6379.4237625841688</v>
      </c>
      <c r="K1953" s="568" t="s">
        <v>1391</v>
      </c>
      <c r="L1953" s="549"/>
      <c r="M1953" s="540"/>
      <c r="O1953" s="540"/>
      <c r="S1953" s="550"/>
      <c r="T1953" s="547"/>
      <c r="U1953" s="547"/>
      <c r="V1953" s="547"/>
      <c r="W1953" s="549"/>
    </row>
    <row r="1954" spans="1:23">
      <c r="A1954" s="565">
        <v>2648</v>
      </c>
      <c r="B1954" s="695" t="s">
        <v>7360</v>
      </c>
      <c r="C1954" s="566">
        <f t="shared" si="30"/>
        <v>2648</v>
      </c>
      <c r="D1954" s="699" t="s">
        <v>2242</v>
      </c>
      <c r="E1954" s="701" t="s">
        <v>9829</v>
      </c>
      <c r="F1954" s="567">
        <v>1</v>
      </c>
      <c r="G1954" s="662">
        <v>10809.850742448592</v>
      </c>
      <c r="H1954" s="662">
        <v>11058.669173807692</v>
      </c>
      <c r="I1954" s="662">
        <v>11320.577436272495</v>
      </c>
      <c r="J1954" s="662">
        <v>11596.273282034153</v>
      </c>
      <c r="K1954" s="568" t="s">
        <v>1392</v>
      </c>
      <c r="L1954" s="549"/>
      <c r="M1954" s="540"/>
      <c r="O1954" s="540"/>
      <c r="S1954" s="550"/>
      <c r="T1954" s="547"/>
      <c r="U1954" s="547"/>
      <c r="V1954" s="547"/>
      <c r="W1954" s="549"/>
    </row>
    <row r="1955" spans="1:23">
      <c r="A1955" s="565">
        <v>2649</v>
      </c>
      <c r="B1955" s="696" t="s">
        <v>7361</v>
      </c>
      <c r="C1955" s="566">
        <f t="shared" si="30"/>
        <v>2649</v>
      </c>
      <c r="D1955" s="700" t="s">
        <v>2242</v>
      </c>
      <c r="E1955" s="701" t="s">
        <v>9830</v>
      </c>
      <c r="F1955" s="566">
        <v>1</v>
      </c>
      <c r="G1955" s="662">
        <v>0</v>
      </c>
      <c r="H1955" s="662">
        <v>0</v>
      </c>
      <c r="I1955" s="662">
        <v>0</v>
      </c>
      <c r="J1955" s="662">
        <v>11939.285749609729</v>
      </c>
      <c r="K1955" s="566" t="s">
        <v>4935</v>
      </c>
      <c r="L1955" s="549"/>
      <c r="M1955" s="540"/>
      <c r="O1955" s="540"/>
      <c r="S1955" s="550"/>
      <c r="T1955" s="547"/>
      <c r="U1955" s="547"/>
      <c r="V1955" s="547"/>
      <c r="W1955" s="549"/>
    </row>
    <row r="1956" spans="1:23">
      <c r="A1956" s="565">
        <v>2650</v>
      </c>
      <c r="B1956" s="696" t="s">
        <v>7362</v>
      </c>
      <c r="C1956" s="566">
        <f t="shared" si="30"/>
        <v>2650</v>
      </c>
      <c r="D1956" s="700" t="s">
        <v>2242</v>
      </c>
      <c r="E1956" s="701" t="s">
        <v>9831</v>
      </c>
      <c r="F1956" s="566">
        <v>1</v>
      </c>
      <c r="G1956" s="662">
        <v>17882.954886149386</v>
      </c>
      <c r="H1956" s="662">
        <v>0</v>
      </c>
      <c r="I1956" s="662">
        <v>18930.165583622038</v>
      </c>
      <c r="J1956" s="662">
        <v>19495.46498979464</v>
      </c>
      <c r="K1956" s="566" t="s">
        <v>1393</v>
      </c>
      <c r="L1956" s="549"/>
      <c r="M1956" s="540"/>
      <c r="O1956" s="540"/>
      <c r="S1956" s="550"/>
      <c r="T1956" s="547"/>
      <c r="U1956" s="547"/>
      <c r="V1956" s="547"/>
      <c r="W1956" s="549"/>
    </row>
    <row r="1957" spans="1:23">
      <c r="A1957" s="565">
        <v>2651</v>
      </c>
      <c r="B1957" s="696" t="s">
        <v>7363</v>
      </c>
      <c r="C1957" s="566">
        <f t="shared" si="30"/>
        <v>2651</v>
      </c>
      <c r="D1957" s="700" t="s">
        <v>2242</v>
      </c>
      <c r="E1957" s="701" t="s">
        <v>9832</v>
      </c>
      <c r="F1957" s="566">
        <v>2</v>
      </c>
      <c r="G1957" s="662">
        <v>19382.53871618534</v>
      </c>
      <c r="H1957" s="662">
        <v>20102.233607248807</v>
      </c>
      <c r="I1957" s="662">
        <v>20859.781569245719</v>
      </c>
      <c r="J1957" s="662">
        <v>21657.22608415447</v>
      </c>
      <c r="K1957" s="566" t="s">
        <v>1394</v>
      </c>
      <c r="L1957" s="549"/>
      <c r="M1957" s="540"/>
      <c r="O1957" s="540"/>
      <c r="S1957" s="550"/>
      <c r="T1957" s="547"/>
      <c r="U1957" s="547"/>
      <c r="V1957" s="547"/>
      <c r="W1957" s="549"/>
    </row>
    <row r="1958" spans="1:23">
      <c r="A1958" s="565">
        <v>2652</v>
      </c>
      <c r="B1958" s="696" t="s">
        <v>7364</v>
      </c>
      <c r="C1958" s="566">
        <f t="shared" si="30"/>
        <v>2652</v>
      </c>
      <c r="D1958" s="700" t="s">
        <v>2242</v>
      </c>
      <c r="E1958" s="701" t="s">
        <v>9833</v>
      </c>
      <c r="F1958" s="566">
        <v>2</v>
      </c>
      <c r="G1958" s="662">
        <v>18793.50382363264</v>
      </c>
      <c r="H1958" s="662">
        <v>19486.244214314207</v>
      </c>
      <c r="I1958" s="662">
        <v>20215.426700277443</v>
      </c>
      <c r="J1958" s="662">
        <v>20982.997454835135</v>
      </c>
      <c r="K1958" s="566" t="s">
        <v>1395</v>
      </c>
      <c r="L1958" s="549"/>
      <c r="M1958" s="540"/>
      <c r="O1958" s="540"/>
      <c r="S1958" s="550"/>
      <c r="T1958" s="547"/>
      <c r="U1958" s="547"/>
      <c r="V1958" s="547"/>
      <c r="W1958" s="549"/>
    </row>
    <row r="1959" spans="1:23">
      <c r="A1959" s="565">
        <v>2653</v>
      </c>
      <c r="B1959" s="696" t="s">
        <v>7365</v>
      </c>
      <c r="C1959" s="566">
        <f t="shared" si="30"/>
        <v>2653</v>
      </c>
      <c r="D1959" s="700" t="s">
        <v>2242</v>
      </c>
      <c r="E1959" s="701" t="s">
        <v>9834</v>
      </c>
      <c r="F1959" s="566">
        <v>2</v>
      </c>
      <c r="G1959" s="662">
        <v>0</v>
      </c>
      <c r="H1959" s="662">
        <v>21177.918282117236</v>
      </c>
      <c r="I1959" s="662">
        <v>21962.420744496048</v>
      </c>
      <c r="J1959" s="662">
        <v>22834.111771287095</v>
      </c>
      <c r="K1959" s="566" t="s">
        <v>3213</v>
      </c>
      <c r="L1959" s="549"/>
      <c r="M1959" s="540"/>
      <c r="O1959" s="540"/>
      <c r="S1959" s="550"/>
      <c r="T1959" s="547"/>
      <c r="U1959" s="547"/>
      <c r="V1959" s="547"/>
      <c r="W1959" s="549"/>
    </row>
    <row r="1960" spans="1:23">
      <c r="A1960" s="565">
        <v>2654</v>
      </c>
      <c r="B1960" s="696" t="s">
        <v>7366</v>
      </c>
      <c r="C1960" s="566">
        <f t="shared" si="30"/>
        <v>2654</v>
      </c>
      <c r="D1960" s="700" t="s">
        <v>2243</v>
      </c>
      <c r="E1960" s="701" t="s">
        <v>9835</v>
      </c>
      <c r="F1960" s="566">
        <v>1</v>
      </c>
      <c r="G1960" s="662">
        <v>13560.893423703081</v>
      </c>
      <c r="H1960" s="662">
        <v>13947.250543369297</v>
      </c>
      <c r="I1960" s="662">
        <v>0</v>
      </c>
      <c r="J1960" s="662">
        <v>0</v>
      </c>
      <c r="K1960" s="566" t="s">
        <v>1396</v>
      </c>
      <c r="L1960" s="549"/>
      <c r="M1960" s="540"/>
      <c r="O1960" s="540"/>
      <c r="S1960" s="550"/>
      <c r="T1960" s="547"/>
      <c r="U1960" s="547"/>
      <c r="V1960" s="547"/>
      <c r="W1960" s="549"/>
    </row>
    <row r="1961" spans="1:23">
      <c r="A1961" s="565">
        <v>2655</v>
      </c>
      <c r="B1961" s="696" t="s">
        <v>7367</v>
      </c>
      <c r="C1961" s="566">
        <f t="shared" si="30"/>
        <v>2655</v>
      </c>
      <c r="D1961" s="700" t="s">
        <v>2243</v>
      </c>
      <c r="E1961" s="701" t="s">
        <v>9836</v>
      </c>
      <c r="F1961" s="566">
        <v>1</v>
      </c>
      <c r="G1961" s="662">
        <v>16349.071945560137</v>
      </c>
      <c r="H1961" s="662">
        <v>16848.07988827255</v>
      </c>
      <c r="I1961" s="662">
        <v>17347.08783098495</v>
      </c>
      <c r="J1961" s="662">
        <v>17872.357496820001</v>
      </c>
      <c r="K1961" s="566" t="s">
        <v>1397</v>
      </c>
      <c r="L1961" s="549"/>
      <c r="M1961" s="540"/>
      <c r="O1961" s="540"/>
      <c r="S1961" s="550"/>
      <c r="T1961" s="547"/>
      <c r="U1961" s="547"/>
      <c r="V1961" s="547"/>
      <c r="W1961" s="549"/>
    </row>
    <row r="1962" spans="1:23">
      <c r="A1962" s="565">
        <v>2656</v>
      </c>
      <c r="B1962" s="696" t="s">
        <v>7368</v>
      </c>
      <c r="C1962" s="566">
        <f t="shared" si="30"/>
        <v>2656</v>
      </c>
      <c r="D1962" s="700" t="s">
        <v>2243</v>
      </c>
      <c r="E1962" s="701" t="s">
        <v>9837</v>
      </c>
      <c r="F1962" s="566">
        <v>1</v>
      </c>
      <c r="G1962" s="662">
        <v>22104.978372615955</v>
      </c>
      <c r="H1962" s="662">
        <v>0</v>
      </c>
      <c r="I1962" s="662">
        <v>0</v>
      </c>
      <c r="J1962" s="662">
        <v>0</v>
      </c>
      <c r="K1962" s="566" t="s">
        <v>5348</v>
      </c>
      <c r="L1962" s="549"/>
      <c r="M1962" s="540"/>
      <c r="O1962" s="540"/>
      <c r="S1962" s="550"/>
      <c r="T1962" s="547"/>
      <c r="U1962" s="547"/>
      <c r="V1962" s="547"/>
      <c r="W1962" s="549"/>
    </row>
    <row r="1963" spans="1:23">
      <c r="A1963" s="565">
        <v>2657</v>
      </c>
      <c r="B1963" s="696" t="s">
        <v>7369</v>
      </c>
      <c r="C1963" s="566">
        <f t="shared" si="30"/>
        <v>2657</v>
      </c>
      <c r="D1963" s="700" t="s">
        <v>2243</v>
      </c>
      <c r="E1963" s="701" t="s">
        <v>9838</v>
      </c>
      <c r="F1963" s="566">
        <v>1</v>
      </c>
      <c r="G1963" s="662">
        <v>17965.885482926715</v>
      </c>
      <c r="H1963" s="662">
        <v>0</v>
      </c>
      <c r="I1963" s="662">
        <v>0</v>
      </c>
      <c r="J1963" s="662">
        <v>0</v>
      </c>
      <c r="K1963" s="566" t="s">
        <v>5349</v>
      </c>
      <c r="L1963" s="549"/>
      <c r="M1963" s="540"/>
      <c r="O1963" s="540"/>
      <c r="S1963" s="550"/>
      <c r="T1963" s="547"/>
      <c r="U1963" s="547"/>
      <c r="V1963" s="547"/>
      <c r="W1963" s="549"/>
    </row>
    <row r="1964" spans="1:23">
      <c r="A1964" s="565">
        <v>2658</v>
      </c>
      <c r="B1964" s="696" t="s">
        <v>7370</v>
      </c>
      <c r="C1964" s="566">
        <f t="shared" si="30"/>
        <v>2658</v>
      </c>
      <c r="D1964" s="700" t="s">
        <v>2243</v>
      </c>
      <c r="E1964" s="701" t="s">
        <v>9839</v>
      </c>
      <c r="F1964" s="566">
        <v>1</v>
      </c>
      <c r="G1964" s="662">
        <v>19101.262386807623</v>
      </c>
      <c r="H1964" s="662">
        <v>19677.486169165586</v>
      </c>
      <c r="I1964" s="662">
        <v>20284.021916409001</v>
      </c>
      <c r="J1964" s="662">
        <v>20922.500100976704</v>
      </c>
      <c r="K1964" s="566" t="s">
        <v>1398</v>
      </c>
      <c r="L1964" s="549"/>
      <c r="M1964" s="540"/>
      <c r="O1964" s="540"/>
      <c r="S1964" s="550"/>
      <c r="T1964" s="547"/>
      <c r="U1964" s="547"/>
      <c r="V1964" s="547"/>
      <c r="W1964" s="549"/>
    </row>
    <row r="1965" spans="1:23">
      <c r="A1965" s="565">
        <v>2659</v>
      </c>
      <c r="B1965" s="696" t="s">
        <v>7371</v>
      </c>
      <c r="C1965" s="566">
        <f t="shared" si="30"/>
        <v>2659</v>
      </c>
      <c r="D1965" s="700" t="s">
        <v>2243</v>
      </c>
      <c r="E1965" s="701" t="s">
        <v>9840</v>
      </c>
      <c r="F1965" s="566">
        <v>1</v>
      </c>
      <c r="G1965" s="662">
        <v>0</v>
      </c>
      <c r="H1965" s="662">
        <v>18603.484034069457</v>
      </c>
      <c r="I1965" s="662">
        <v>0</v>
      </c>
      <c r="J1965" s="662">
        <v>0</v>
      </c>
      <c r="K1965" s="566" t="s">
        <v>3214</v>
      </c>
      <c r="L1965" s="549"/>
      <c r="M1965" s="540"/>
      <c r="O1965" s="540"/>
      <c r="S1965" s="550"/>
      <c r="T1965" s="547"/>
      <c r="U1965" s="547"/>
      <c r="V1965" s="547"/>
      <c r="W1965" s="549"/>
    </row>
    <row r="1966" spans="1:23">
      <c r="A1966" s="565">
        <v>2660</v>
      </c>
      <c r="B1966" s="696" t="s">
        <v>7372</v>
      </c>
      <c r="C1966" s="566">
        <f t="shared" si="30"/>
        <v>2660</v>
      </c>
      <c r="D1966" s="700" t="s">
        <v>2243</v>
      </c>
      <c r="E1966" s="701" t="s">
        <v>9841</v>
      </c>
      <c r="F1966" s="566">
        <v>1</v>
      </c>
      <c r="G1966" s="662">
        <v>0</v>
      </c>
      <c r="H1966" s="662">
        <v>0</v>
      </c>
      <c r="I1966" s="662">
        <v>15913.946678406373</v>
      </c>
      <c r="J1966" s="662">
        <v>16354.304044006047</v>
      </c>
      <c r="K1966" s="566" t="s">
        <v>4177</v>
      </c>
      <c r="L1966" s="549"/>
      <c r="M1966" s="540"/>
      <c r="O1966" s="540"/>
      <c r="S1966" s="550"/>
      <c r="T1966" s="547"/>
      <c r="U1966" s="547"/>
      <c r="V1966" s="547"/>
      <c r="W1966" s="549"/>
    </row>
    <row r="1967" spans="1:23">
      <c r="A1967" s="565">
        <v>2661</v>
      </c>
      <c r="B1967" s="695" t="s">
        <v>7373</v>
      </c>
      <c r="C1967" s="566">
        <f t="shared" si="30"/>
        <v>2661</v>
      </c>
      <c r="D1967" s="699" t="s">
        <v>2243</v>
      </c>
      <c r="E1967" s="701" t="s">
        <v>9842</v>
      </c>
      <c r="F1967" s="567">
        <v>1</v>
      </c>
      <c r="G1967" s="662">
        <v>0</v>
      </c>
      <c r="H1967" s="662">
        <v>0</v>
      </c>
      <c r="I1967" s="662">
        <v>16763.853063058948</v>
      </c>
      <c r="J1967" s="662">
        <v>17231.6208156459</v>
      </c>
      <c r="K1967" s="568" t="s">
        <v>4178</v>
      </c>
      <c r="L1967" s="549"/>
      <c r="M1967" s="540"/>
      <c r="O1967" s="540"/>
      <c r="S1967" s="550"/>
      <c r="T1967" s="547"/>
      <c r="U1967" s="547"/>
      <c r="V1967" s="547"/>
      <c r="W1967" s="549"/>
    </row>
    <row r="1968" spans="1:23">
      <c r="A1968" s="565">
        <v>2662</v>
      </c>
      <c r="B1968" s="696" t="s">
        <v>7374</v>
      </c>
      <c r="C1968" s="566">
        <f t="shared" si="30"/>
        <v>2662</v>
      </c>
      <c r="D1968" s="700" t="s">
        <v>2243</v>
      </c>
      <c r="E1968" s="701" t="s">
        <v>9843</v>
      </c>
      <c r="F1968" s="566">
        <v>1</v>
      </c>
      <c r="G1968" s="662">
        <v>16350.008803395032</v>
      </c>
      <c r="H1968" s="662">
        <v>16786.729543394416</v>
      </c>
      <c r="I1968" s="662">
        <v>17246.409874870267</v>
      </c>
      <c r="J1968" s="662">
        <v>17730.352469679423</v>
      </c>
      <c r="K1968" s="566" t="s">
        <v>1399</v>
      </c>
      <c r="L1968" s="549"/>
      <c r="M1968" s="540"/>
      <c r="O1968" s="540"/>
      <c r="S1968" s="550"/>
      <c r="T1968" s="547"/>
      <c r="U1968" s="547"/>
      <c r="V1968" s="547"/>
      <c r="W1968" s="549"/>
    </row>
    <row r="1969" spans="1:23">
      <c r="A1969" s="565">
        <v>2663</v>
      </c>
      <c r="B1969" s="696" t="s">
        <v>7375</v>
      </c>
      <c r="C1969" s="566">
        <f t="shared" si="30"/>
        <v>2663</v>
      </c>
      <c r="D1969" s="700" t="s">
        <v>2243</v>
      </c>
      <c r="E1969" s="701" t="s">
        <v>9844</v>
      </c>
      <c r="F1969" s="566">
        <v>1</v>
      </c>
      <c r="G1969" s="662">
        <v>16050.09673060519</v>
      </c>
      <c r="H1969" s="662">
        <v>16511.236638646522</v>
      </c>
      <c r="I1969" s="662">
        <v>16948.090146558763</v>
      </c>
      <c r="J1969" s="662">
        <v>17407.962938071621</v>
      </c>
      <c r="K1969" s="566" t="s">
        <v>1400</v>
      </c>
      <c r="L1969" s="549"/>
      <c r="M1969" s="540"/>
      <c r="O1969" s="540"/>
      <c r="S1969" s="550"/>
      <c r="T1969" s="547"/>
      <c r="U1969" s="547"/>
      <c r="V1969" s="547"/>
      <c r="W1969" s="549"/>
    </row>
    <row r="1970" spans="1:23">
      <c r="A1970" s="565">
        <v>2664</v>
      </c>
      <c r="B1970" s="696" t="s">
        <v>7376</v>
      </c>
      <c r="C1970" s="566">
        <f t="shared" si="30"/>
        <v>2664</v>
      </c>
      <c r="D1970" s="700" t="s">
        <v>2243</v>
      </c>
      <c r="E1970" s="701" t="s">
        <v>9845</v>
      </c>
      <c r="F1970" s="566">
        <v>1</v>
      </c>
      <c r="G1970" s="662">
        <v>0</v>
      </c>
      <c r="H1970" s="662">
        <v>0</v>
      </c>
      <c r="I1970" s="662">
        <v>25121.473181213387</v>
      </c>
      <c r="J1970" s="662">
        <v>25799.730994665071</v>
      </c>
      <c r="K1970" s="566" t="s">
        <v>4179</v>
      </c>
      <c r="L1970" s="549"/>
      <c r="M1970" s="540"/>
      <c r="O1970" s="540"/>
      <c r="S1970" s="550"/>
      <c r="T1970" s="547"/>
      <c r="U1970" s="547"/>
      <c r="V1970" s="547"/>
      <c r="W1970" s="549"/>
    </row>
    <row r="1971" spans="1:23">
      <c r="A1971" s="565">
        <v>2665</v>
      </c>
      <c r="B1971" s="696" t="s">
        <v>7377</v>
      </c>
      <c r="C1971" s="566">
        <f t="shared" si="30"/>
        <v>2665</v>
      </c>
      <c r="D1971" s="700" t="s">
        <v>2243</v>
      </c>
      <c r="E1971" s="701" t="s">
        <v>9846</v>
      </c>
      <c r="F1971" s="566">
        <v>1</v>
      </c>
      <c r="G1971" s="662">
        <v>0</v>
      </c>
      <c r="H1971" s="662">
        <v>0</v>
      </c>
      <c r="I1971" s="662">
        <v>25476.370332651491</v>
      </c>
      <c r="J1971" s="662">
        <v>26165.15807694582</v>
      </c>
      <c r="K1971" s="566" t="s">
        <v>4180</v>
      </c>
      <c r="L1971" s="549"/>
      <c r="M1971" s="540"/>
      <c r="O1971" s="540"/>
      <c r="S1971" s="550"/>
      <c r="T1971" s="547"/>
      <c r="U1971" s="547"/>
      <c r="V1971" s="547"/>
      <c r="W1971" s="549"/>
    </row>
    <row r="1972" spans="1:23">
      <c r="A1972" s="565">
        <v>2666</v>
      </c>
      <c r="B1972" s="696" t="s">
        <v>7378</v>
      </c>
      <c r="C1972" s="566">
        <f t="shared" si="30"/>
        <v>2666</v>
      </c>
      <c r="D1972" s="700" t="s">
        <v>2243</v>
      </c>
      <c r="E1972" s="701" t="s">
        <v>9847</v>
      </c>
      <c r="F1972" s="566">
        <v>1</v>
      </c>
      <c r="G1972" s="662">
        <v>0</v>
      </c>
      <c r="H1972" s="662">
        <v>0</v>
      </c>
      <c r="I1972" s="662">
        <v>29717.824093741165</v>
      </c>
      <c r="J1972" s="662">
        <v>30532.591062188923</v>
      </c>
      <c r="K1972" s="566" t="s">
        <v>4181</v>
      </c>
      <c r="L1972" s="549"/>
      <c r="M1972" s="540"/>
      <c r="O1972" s="540"/>
      <c r="S1972" s="550"/>
      <c r="T1972" s="547"/>
      <c r="U1972" s="547"/>
      <c r="V1972" s="547"/>
      <c r="W1972" s="549"/>
    </row>
    <row r="1973" spans="1:23">
      <c r="A1973" s="565">
        <v>2667</v>
      </c>
      <c r="B1973" s="696" t="s">
        <v>7379</v>
      </c>
      <c r="C1973" s="566">
        <f t="shared" si="30"/>
        <v>2667</v>
      </c>
      <c r="D1973" s="700" t="s">
        <v>2243</v>
      </c>
      <c r="E1973" s="701" t="s">
        <v>9848</v>
      </c>
      <c r="F1973" s="566">
        <v>1</v>
      </c>
      <c r="G1973" s="662">
        <v>0</v>
      </c>
      <c r="H1973" s="662">
        <v>0</v>
      </c>
      <c r="I1973" s="662">
        <v>18040.842208618793</v>
      </c>
      <c r="J1973" s="662">
        <v>18508.772795187848</v>
      </c>
      <c r="K1973" s="566" t="s">
        <v>4182</v>
      </c>
      <c r="L1973" s="549"/>
      <c r="M1973" s="540"/>
      <c r="O1973" s="540"/>
      <c r="S1973" s="550"/>
      <c r="T1973" s="547"/>
      <c r="U1973" s="547"/>
      <c r="V1973" s="547"/>
      <c r="W1973" s="549"/>
    </row>
    <row r="1974" spans="1:23">
      <c r="A1974" s="565">
        <v>2668</v>
      </c>
      <c r="B1974" s="697" t="s">
        <v>7380</v>
      </c>
      <c r="C1974" s="566">
        <f t="shared" si="30"/>
        <v>2668</v>
      </c>
      <c r="D1974" s="699" t="s">
        <v>2243</v>
      </c>
      <c r="E1974" s="701" t="s">
        <v>9849</v>
      </c>
      <c r="F1974" s="567">
        <v>1</v>
      </c>
      <c r="G1974" s="662">
        <v>0</v>
      </c>
      <c r="H1974" s="662">
        <v>0</v>
      </c>
      <c r="I1974" s="662">
        <v>21269.540683897256</v>
      </c>
      <c r="J1974" s="662">
        <v>21833.380485924794</v>
      </c>
      <c r="K1974" s="568" t="s">
        <v>4183</v>
      </c>
      <c r="L1974" s="549"/>
      <c r="M1974" s="540"/>
      <c r="O1974" s="540"/>
      <c r="S1974" s="550"/>
      <c r="T1974" s="547"/>
      <c r="U1974" s="547"/>
      <c r="V1974" s="547"/>
      <c r="W1974" s="549"/>
    </row>
    <row r="1975" spans="1:23">
      <c r="A1975" s="565">
        <v>2669</v>
      </c>
      <c r="B1975" s="697" t="s">
        <v>7381</v>
      </c>
      <c r="C1975" s="566">
        <f t="shared" si="30"/>
        <v>2669</v>
      </c>
      <c r="D1975" s="699" t="s">
        <v>2243</v>
      </c>
      <c r="E1975" s="701" t="s">
        <v>9850</v>
      </c>
      <c r="F1975" s="567">
        <v>1</v>
      </c>
      <c r="G1975" s="662">
        <v>0</v>
      </c>
      <c r="H1975" s="662">
        <v>0</v>
      </c>
      <c r="I1975" s="662">
        <v>22654.505177314288</v>
      </c>
      <c r="J1975" s="662">
        <v>23259.487698819772</v>
      </c>
      <c r="K1975" s="568" t="s">
        <v>4184</v>
      </c>
      <c r="L1975" s="549"/>
      <c r="M1975" s="540"/>
      <c r="O1975" s="540"/>
      <c r="S1975" s="550"/>
      <c r="T1975" s="547"/>
      <c r="U1975" s="547"/>
      <c r="V1975" s="547"/>
      <c r="W1975" s="549"/>
    </row>
    <row r="1976" spans="1:23">
      <c r="A1976" s="565">
        <v>2670</v>
      </c>
      <c r="B1976" s="696" t="s">
        <v>7382</v>
      </c>
      <c r="C1976" s="566">
        <f t="shared" si="30"/>
        <v>2670</v>
      </c>
      <c r="D1976" s="700" t="s">
        <v>2243</v>
      </c>
      <c r="E1976" s="701" t="s">
        <v>9851</v>
      </c>
      <c r="F1976" s="566">
        <v>1</v>
      </c>
      <c r="G1976" s="662">
        <v>0</v>
      </c>
      <c r="H1976" s="662">
        <v>0</v>
      </c>
      <c r="I1976" s="662">
        <v>21226.260543477969</v>
      </c>
      <c r="J1976" s="662">
        <v>21788.797673648689</v>
      </c>
      <c r="K1976" s="566" t="s">
        <v>4185</v>
      </c>
      <c r="L1976" s="549"/>
      <c r="M1976" s="540"/>
      <c r="O1976" s="540"/>
      <c r="S1976" s="550"/>
      <c r="T1976" s="547"/>
      <c r="U1976" s="547"/>
      <c r="V1976" s="547"/>
      <c r="W1976" s="549"/>
    </row>
    <row r="1977" spans="1:23">
      <c r="A1977" s="565">
        <v>2671</v>
      </c>
      <c r="B1977" s="696" t="s">
        <v>7383</v>
      </c>
      <c r="C1977" s="566">
        <f t="shared" si="30"/>
        <v>2671</v>
      </c>
      <c r="D1977" s="700" t="s">
        <v>2243</v>
      </c>
      <c r="E1977" s="701" t="s">
        <v>9852</v>
      </c>
      <c r="F1977" s="566">
        <v>1</v>
      </c>
      <c r="G1977" s="662">
        <v>0</v>
      </c>
      <c r="H1977" s="662">
        <v>0</v>
      </c>
      <c r="I1977" s="662">
        <v>21589.813722999945</v>
      </c>
      <c r="J1977" s="662">
        <v>22163.152173983472</v>
      </c>
      <c r="K1977" s="566" t="s">
        <v>4186</v>
      </c>
      <c r="L1977" s="549"/>
      <c r="M1977" s="540"/>
      <c r="O1977" s="540"/>
      <c r="S1977" s="550"/>
      <c r="T1977" s="547"/>
      <c r="U1977" s="547"/>
      <c r="V1977" s="547"/>
      <c r="W1977" s="549"/>
    </row>
    <row r="1978" spans="1:23">
      <c r="A1978" s="565">
        <v>2672</v>
      </c>
      <c r="B1978" s="696" t="s">
        <v>7384</v>
      </c>
      <c r="C1978" s="566">
        <f t="shared" si="30"/>
        <v>2672</v>
      </c>
      <c r="D1978" s="700" t="s">
        <v>2243</v>
      </c>
      <c r="E1978" s="701" t="s">
        <v>9853</v>
      </c>
      <c r="F1978" s="566">
        <v>1</v>
      </c>
      <c r="G1978" s="662">
        <v>0</v>
      </c>
      <c r="H1978" s="662">
        <v>0</v>
      </c>
      <c r="I1978" s="662">
        <v>22801.657654739851</v>
      </c>
      <c r="J1978" s="662">
        <v>23410.98241576807</v>
      </c>
      <c r="K1978" s="566" t="s">
        <v>4187</v>
      </c>
      <c r="L1978" s="549"/>
      <c r="M1978" s="540"/>
      <c r="O1978" s="540"/>
      <c r="S1978" s="550"/>
      <c r="T1978" s="547"/>
      <c r="U1978" s="547"/>
      <c r="V1978" s="547"/>
      <c r="W1978" s="549"/>
    </row>
    <row r="1979" spans="1:23">
      <c r="A1979" s="565">
        <v>2673</v>
      </c>
      <c r="B1979" s="696" t="s">
        <v>7385</v>
      </c>
      <c r="C1979" s="566">
        <f t="shared" si="30"/>
        <v>2673</v>
      </c>
      <c r="D1979" s="700" t="s">
        <v>2243</v>
      </c>
      <c r="E1979" s="701" t="s">
        <v>9854</v>
      </c>
      <c r="F1979" s="566">
        <v>1</v>
      </c>
      <c r="G1979" s="662">
        <v>0</v>
      </c>
      <c r="H1979" s="662">
        <v>0</v>
      </c>
      <c r="I1979" s="662">
        <v>23165.210834261827</v>
      </c>
      <c r="J1979" s="662">
        <v>23785.336916102857</v>
      </c>
      <c r="K1979" s="566" t="s">
        <v>4188</v>
      </c>
      <c r="L1979" s="549"/>
      <c r="M1979" s="540"/>
      <c r="O1979" s="540"/>
      <c r="S1979" s="550"/>
      <c r="T1979" s="547"/>
      <c r="U1979" s="547"/>
      <c r="V1979" s="547"/>
      <c r="W1979" s="549"/>
    </row>
    <row r="1980" spans="1:23">
      <c r="A1980" s="565">
        <v>2674</v>
      </c>
      <c r="B1980" s="696" t="s">
        <v>7386</v>
      </c>
      <c r="C1980" s="566">
        <f t="shared" si="30"/>
        <v>2674</v>
      </c>
      <c r="D1980" s="700" t="s">
        <v>2243</v>
      </c>
      <c r="E1980" s="701" t="s">
        <v>9855</v>
      </c>
      <c r="F1980" s="566">
        <v>1</v>
      </c>
      <c r="G1980" s="662">
        <v>0</v>
      </c>
      <c r="H1980" s="662">
        <v>0</v>
      </c>
      <c r="I1980" s="662">
        <v>13160.897885828692</v>
      </c>
      <c r="J1980" s="662">
        <v>13491.070923538888</v>
      </c>
      <c r="K1980" s="566" t="s">
        <v>4189</v>
      </c>
      <c r="L1980" s="549"/>
      <c r="M1980" s="540"/>
      <c r="O1980" s="540"/>
      <c r="S1980" s="550"/>
      <c r="T1980" s="547"/>
      <c r="U1980" s="547"/>
      <c r="V1980" s="547"/>
      <c r="W1980" s="549"/>
    </row>
    <row r="1981" spans="1:23">
      <c r="A1981" s="565">
        <v>2675</v>
      </c>
      <c r="B1981" s="696" t="s">
        <v>7387</v>
      </c>
      <c r="C1981" s="566">
        <f t="shared" si="30"/>
        <v>2675</v>
      </c>
      <c r="D1981" s="700" t="s">
        <v>2243</v>
      </c>
      <c r="E1981" s="701" t="s">
        <v>9856</v>
      </c>
      <c r="F1981" s="566">
        <v>1</v>
      </c>
      <c r="G1981" s="662">
        <v>15276.26436461017</v>
      </c>
      <c r="H1981" s="662">
        <v>15671.13677120916</v>
      </c>
      <c r="I1981" s="662">
        <v>16086.743371529232</v>
      </c>
      <c r="J1981" s="662">
        <v>16524.278281439121</v>
      </c>
      <c r="K1981" s="566" t="s">
        <v>1401</v>
      </c>
      <c r="L1981" s="549"/>
      <c r="M1981" s="540"/>
      <c r="O1981" s="540"/>
      <c r="S1981" s="550"/>
      <c r="T1981" s="547"/>
      <c r="U1981" s="547"/>
      <c r="V1981" s="547"/>
      <c r="W1981" s="549"/>
    </row>
    <row r="1982" spans="1:23">
      <c r="A1982" s="565">
        <v>2676</v>
      </c>
      <c r="B1982" s="696" t="s">
        <v>7388</v>
      </c>
      <c r="C1982" s="566">
        <f t="shared" si="30"/>
        <v>2676</v>
      </c>
      <c r="D1982" s="700" t="s">
        <v>2243</v>
      </c>
      <c r="E1982" s="701" t="s">
        <v>9857</v>
      </c>
      <c r="F1982" s="566">
        <v>1</v>
      </c>
      <c r="G1982" s="662">
        <v>16102.223658176834</v>
      </c>
      <c r="H1982" s="662">
        <v>0</v>
      </c>
      <c r="I1982" s="662">
        <v>0</v>
      </c>
      <c r="J1982" s="662">
        <v>0</v>
      </c>
      <c r="K1982" s="566" t="s">
        <v>5350</v>
      </c>
      <c r="L1982" s="549"/>
      <c r="M1982" s="540"/>
      <c r="O1982" s="540"/>
      <c r="S1982" s="550"/>
      <c r="T1982" s="547"/>
      <c r="U1982" s="547"/>
      <c r="V1982" s="547"/>
      <c r="W1982" s="549"/>
    </row>
    <row r="1983" spans="1:23">
      <c r="A1983" s="565">
        <v>2677</v>
      </c>
      <c r="B1983" s="696" t="s">
        <v>7389</v>
      </c>
      <c r="C1983" s="566">
        <f t="shared" si="30"/>
        <v>2677</v>
      </c>
      <c r="D1983" s="700" t="s">
        <v>2243</v>
      </c>
      <c r="E1983" s="701" t="s">
        <v>9858</v>
      </c>
      <c r="F1983" s="566">
        <v>1</v>
      </c>
      <c r="G1983" s="662">
        <v>0</v>
      </c>
      <c r="H1983" s="662">
        <v>0</v>
      </c>
      <c r="I1983" s="662">
        <v>21840.838537431784</v>
      </c>
      <c r="J1983" s="662">
        <v>22421.667351592034</v>
      </c>
      <c r="K1983" s="566" t="s">
        <v>4190</v>
      </c>
      <c r="L1983" s="549"/>
      <c r="M1983" s="540"/>
      <c r="O1983" s="540"/>
      <c r="S1983" s="550"/>
      <c r="T1983" s="547"/>
      <c r="U1983" s="547"/>
      <c r="V1983" s="547"/>
      <c r="W1983" s="549"/>
    </row>
    <row r="1984" spans="1:23">
      <c r="A1984" s="565">
        <v>2678</v>
      </c>
      <c r="B1984" s="696" t="s">
        <v>7390</v>
      </c>
      <c r="C1984" s="566">
        <f t="shared" si="30"/>
        <v>2678</v>
      </c>
      <c r="D1984" s="700" t="s">
        <v>2243</v>
      </c>
      <c r="E1984" s="701" t="s">
        <v>9859</v>
      </c>
      <c r="F1984" s="566">
        <v>1</v>
      </c>
      <c r="G1984" s="662">
        <v>0</v>
      </c>
      <c r="H1984" s="662">
        <v>0</v>
      </c>
      <c r="I1984" s="662">
        <v>0</v>
      </c>
      <c r="J1984" s="662">
        <v>19425.806702035825</v>
      </c>
      <c r="K1984" s="566" t="s">
        <v>4936</v>
      </c>
      <c r="L1984" s="549"/>
      <c r="M1984" s="540"/>
      <c r="O1984" s="540"/>
      <c r="S1984" s="550"/>
      <c r="T1984" s="547"/>
      <c r="U1984" s="547"/>
      <c r="V1984" s="547"/>
      <c r="W1984" s="549"/>
    </row>
    <row r="1985" spans="1:23">
      <c r="A1985" s="565">
        <v>2679</v>
      </c>
      <c r="B1985" s="696" t="s">
        <v>7391</v>
      </c>
      <c r="C1985" s="566">
        <f t="shared" si="30"/>
        <v>2679</v>
      </c>
      <c r="D1985" s="700" t="s">
        <v>2243</v>
      </c>
      <c r="E1985" s="701" t="s">
        <v>9860</v>
      </c>
      <c r="F1985" s="566">
        <v>1</v>
      </c>
      <c r="G1985" s="662">
        <v>16745.833512676305</v>
      </c>
      <c r="H1985" s="662">
        <v>0</v>
      </c>
      <c r="I1985" s="662">
        <v>0</v>
      </c>
      <c r="J1985" s="662">
        <v>0</v>
      </c>
      <c r="K1985" s="566" t="s">
        <v>5351</v>
      </c>
      <c r="L1985" s="549"/>
      <c r="M1985" s="540"/>
      <c r="O1985" s="540"/>
      <c r="S1985" s="550"/>
      <c r="T1985" s="547"/>
      <c r="U1985" s="547"/>
      <c r="V1985" s="547"/>
      <c r="W1985" s="549"/>
    </row>
    <row r="1986" spans="1:23">
      <c r="A1986" s="565">
        <v>2680</v>
      </c>
      <c r="B1986" s="695" t="s">
        <v>7392</v>
      </c>
      <c r="C1986" s="566">
        <f t="shared" si="30"/>
        <v>2680</v>
      </c>
      <c r="D1986" s="699" t="s">
        <v>2243</v>
      </c>
      <c r="E1986" s="701" t="s">
        <v>9861</v>
      </c>
      <c r="F1986" s="567">
        <v>1</v>
      </c>
      <c r="G1986" s="662">
        <v>16892.186548341309</v>
      </c>
      <c r="H1986" s="662">
        <v>17345.787744485329</v>
      </c>
      <c r="I1986" s="662">
        <v>0</v>
      </c>
      <c r="J1986" s="662">
        <v>0</v>
      </c>
      <c r="K1986" s="568" t="s">
        <v>1402</v>
      </c>
      <c r="L1986" s="549"/>
      <c r="M1986" s="540"/>
      <c r="O1986" s="540"/>
      <c r="S1986" s="550"/>
      <c r="T1986" s="547"/>
      <c r="U1986" s="547"/>
      <c r="V1986" s="547"/>
      <c r="W1986" s="549"/>
    </row>
    <row r="1987" spans="1:23">
      <c r="A1987" s="565">
        <v>2681</v>
      </c>
      <c r="B1987" s="695" t="s">
        <v>7393</v>
      </c>
      <c r="C1987" s="566">
        <f t="shared" si="30"/>
        <v>2681</v>
      </c>
      <c r="D1987" s="699" t="s">
        <v>2243</v>
      </c>
      <c r="E1987" s="701" t="s">
        <v>9862</v>
      </c>
      <c r="F1987" s="567">
        <v>1</v>
      </c>
      <c r="G1987" s="662">
        <v>17263.910380599176</v>
      </c>
      <c r="H1987" s="662">
        <v>17729.018511478451</v>
      </c>
      <c r="I1987" s="662">
        <v>0</v>
      </c>
      <c r="J1987" s="662">
        <v>0</v>
      </c>
      <c r="K1987" s="568" t="s">
        <v>1403</v>
      </c>
      <c r="L1987" s="549"/>
      <c r="M1987" s="540"/>
      <c r="O1987" s="540"/>
      <c r="S1987" s="550"/>
      <c r="T1987" s="547"/>
      <c r="U1987" s="547"/>
      <c r="V1987" s="547"/>
      <c r="W1987" s="549"/>
    </row>
    <row r="1988" spans="1:23">
      <c r="A1988" s="565">
        <v>2682</v>
      </c>
      <c r="B1988" s="695" t="s">
        <v>7394</v>
      </c>
      <c r="C1988" s="566">
        <f t="shared" si="30"/>
        <v>2682</v>
      </c>
      <c r="D1988" s="699" t="s">
        <v>2243</v>
      </c>
      <c r="E1988" s="701" t="s">
        <v>9863</v>
      </c>
      <c r="F1988" s="567">
        <v>1</v>
      </c>
      <c r="G1988" s="662">
        <v>0</v>
      </c>
      <c r="H1988" s="662">
        <v>0</v>
      </c>
      <c r="I1988" s="662">
        <v>0</v>
      </c>
      <c r="J1988" s="662">
        <v>22290.951997792319</v>
      </c>
      <c r="K1988" s="568" t="s">
        <v>4937</v>
      </c>
      <c r="L1988" s="549"/>
      <c r="M1988" s="540"/>
      <c r="O1988" s="540"/>
      <c r="S1988" s="550"/>
      <c r="T1988" s="547"/>
      <c r="U1988" s="547"/>
      <c r="V1988" s="547"/>
      <c r="W1988" s="549"/>
    </row>
    <row r="1989" spans="1:23">
      <c r="A1989" s="565">
        <v>2683</v>
      </c>
      <c r="B1989" s="696" t="s">
        <v>7395</v>
      </c>
      <c r="C1989" s="566">
        <f t="shared" si="30"/>
        <v>2683</v>
      </c>
      <c r="D1989" s="700" t="s">
        <v>2243</v>
      </c>
      <c r="E1989" s="701" t="s">
        <v>9864</v>
      </c>
      <c r="F1989" s="566">
        <v>1</v>
      </c>
      <c r="G1989" s="662">
        <v>19555.647123293678</v>
      </c>
      <c r="H1989" s="662">
        <v>20068.574166917104</v>
      </c>
      <c r="I1989" s="662">
        <v>20608.477373575552</v>
      </c>
      <c r="J1989" s="662">
        <v>21176.822249107932</v>
      </c>
      <c r="K1989" s="566" t="s">
        <v>1404</v>
      </c>
      <c r="L1989" s="549"/>
      <c r="M1989" s="540"/>
      <c r="O1989" s="540"/>
      <c r="S1989" s="550"/>
      <c r="T1989" s="547"/>
      <c r="U1989" s="547"/>
      <c r="V1989" s="547"/>
      <c r="W1989" s="549"/>
    </row>
    <row r="1990" spans="1:23">
      <c r="A1990" s="565">
        <v>2684</v>
      </c>
      <c r="B1990" s="696" t="s">
        <v>7396</v>
      </c>
      <c r="C1990" s="566">
        <f t="shared" si="30"/>
        <v>2684</v>
      </c>
      <c r="D1990" s="700" t="s">
        <v>2243</v>
      </c>
      <c r="E1990" s="701" t="s">
        <v>9865</v>
      </c>
      <c r="F1990" s="566">
        <v>1</v>
      </c>
      <c r="G1990" s="662">
        <v>17999.126871088585</v>
      </c>
      <c r="H1990" s="662">
        <v>18476.773218589773</v>
      </c>
      <c r="I1990" s="662">
        <v>18979.55027732881</v>
      </c>
      <c r="J1990" s="662">
        <v>19508.814997156544</v>
      </c>
      <c r="K1990" s="566" t="s">
        <v>1405</v>
      </c>
      <c r="L1990" s="549"/>
      <c r="M1990" s="540"/>
      <c r="O1990" s="540"/>
      <c r="S1990" s="550"/>
      <c r="T1990" s="547"/>
      <c r="U1990" s="547"/>
      <c r="V1990" s="547"/>
      <c r="W1990" s="549"/>
    </row>
    <row r="1991" spans="1:23">
      <c r="A1991" s="565">
        <v>2685</v>
      </c>
      <c r="B1991" s="696" t="s">
        <v>7397</v>
      </c>
      <c r="C1991" s="566">
        <f t="shared" si="30"/>
        <v>2685</v>
      </c>
      <c r="D1991" s="700" t="s">
        <v>2243</v>
      </c>
      <c r="E1991" s="701" t="s">
        <v>9866</v>
      </c>
      <c r="F1991" s="566">
        <v>1</v>
      </c>
      <c r="G1991" s="662">
        <v>0</v>
      </c>
      <c r="H1991" s="662">
        <v>0</v>
      </c>
      <c r="I1991" s="662">
        <v>21269.540683897256</v>
      </c>
      <c r="J1991" s="662">
        <v>21833.380485924794</v>
      </c>
      <c r="K1991" s="566" t="s">
        <v>4191</v>
      </c>
      <c r="L1991" s="549"/>
      <c r="M1991" s="540"/>
      <c r="O1991" s="540"/>
      <c r="S1991" s="550"/>
      <c r="T1991" s="547"/>
      <c r="U1991" s="547"/>
      <c r="V1991" s="547"/>
      <c r="W1991" s="549"/>
    </row>
    <row r="1992" spans="1:23">
      <c r="A1992" s="565">
        <v>2686</v>
      </c>
      <c r="B1992" s="696" t="s">
        <v>7398</v>
      </c>
      <c r="C1992" s="566">
        <f t="shared" si="30"/>
        <v>2686</v>
      </c>
      <c r="D1992" s="700" t="s">
        <v>2243</v>
      </c>
      <c r="E1992" s="701" t="s">
        <v>9867</v>
      </c>
      <c r="F1992" s="566">
        <v>1</v>
      </c>
      <c r="G1992" s="662">
        <v>19120.689780283687</v>
      </c>
      <c r="H1992" s="662">
        <v>19643.495418821356</v>
      </c>
      <c r="I1992" s="662">
        <v>20193.765722340333</v>
      </c>
      <c r="J1992" s="662">
        <v>20773.020474673594</v>
      </c>
      <c r="K1992" s="566" t="s">
        <v>1406</v>
      </c>
      <c r="L1992" s="549"/>
      <c r="M1992" s="540"/>
      <c r="O1992" s="540"/>
      <c r="S1992" s="550"/>
      <c r="T1992" s="547"/>
      <c r="U1992" s="547"/>
      <c r="V1992" s="547"/>
      <c r="W1992" s="549"/>
    </row>
    <row r="1993" spans="1:23">
      <c r="A1993" s="565">
        <v>2687</v>
      </c>
      <c r="B1993" s="696" t="s">
        <v>7399</v>
      </c>
      <c r="C1993" s="566">
        <f t="shared" ref="C1993:C2056" si="31">A1993</f>
        <v>2687</v>
      </c>
      <c r="D1993" s="700" t="s">
        <v>2243</v>
      </c>
      <c r="E1993" s="701" t="s">
        <v>9868</v>
      </c>
      <c r="F1993" s="566">
        <v>1</v>
      </c>
      <c r="G1993" s="662">
        <v>0</v>
      </c>
      <c r="H1993" s="662">
        <v>0</v>
      </c>
      <c r="I1993" s="662">
        <v>22567.944896475725</v>
      </c>
      <c r="J1993" s="662">
        <v>23170.322074267566</v>
      </c>
      <c r="K1993" s="566" t="s">
        <v>4192</v>
      </c>
      <c r="L1993" s="549"/>
      <c r="M1993" s="540"/>
      <c r="O1993" s="540"/>
      <c r="S1993" s="550"/>
      <c r="T1993" s="547"/>
      <c r="U1993" s="547"/>
      <c r="V1993" s="547"/>
      <c r="W1993" s="549"/>
    </row>
    <row r="1994" spans="1:23">
      <c r="A1994" s="565">
        <v>2688</v>
      </c>
      <c r="B1994" s="696" t="s">
        <v>7400</v>
      </c>
      <c r="C1994" s="566">
        <f t="shared" si="31"/>
        <v>2688</v>
      </c>
      <c r="D1994" s="700" t="s">
        <v>2243</v>
      </c>
      <c r="E1994" s="701" t="s">
        <v>9869</v>
      </c>
      <c r="F1994" s="566">
        <v>1</v>
      </c>
      <c r="G1994" s="662">
        <v>0</v>
      </c>
      <c r="H1994" s="662">
        <v>18133.476990087049</v>
      </c>
      <c r="I1994" s="662">
        <v>0</v>
      </c>
      <c r="J1994" s="662">
        <v>0</v>
      </c>
      <c r="K1994" s="566" t="s">
        <v>4193</v>
      </c>
      <c r="L1994" s="549"/>
      <c r="M1994" s="540"/>
      <c r="O1994" s="540"/>
      <c r="S1994" s="550"/>
      <c r="T1994" s="547"/>
      <c r="U1994" s="547"/>
      <c r="V1994" s="547"/>
      <c r="W1994" s="549"/>
    </row>
    <row r="1995" spans="1:23">
      <c r="A1995" s="565">
        <v>2689</v>
      </c>
      <c r="B1995" s="696" t="s">
        <v>7401</v>
      </c>
      <c r="C1995" s="566">
        <f t="shared" si="31"/>
        <v>2689</v>
      </c>
      <c r="D1995" s="700" t="s">
        <v>2243</v>
      </c>
      <c r="E1995" s="701" t="s">
        <v>9870</v>
      </c>
      <c r="F1995" s="566">
        <v>1</v>
      </c>
      <c r="G1995" s="662">
        <v>18350.397136088086</v>
      </c>
      <c r="H1995" s="662">
        <v>18975.696785923094</v>
      </c>
      <c r="I1995" s="662">
        <v>0</v>
      </c>
      <c r="J1995" s="662">
        <v>0</v>
      </c>
      <c r="K1995" s="566" t="s">
        <v>1407</v>
      </c>
      <c r="L1995" s="549"/>
      <c r="M1995" s="540"/>
      <c r="O1995" s="540"/>
      <c r="S1995" s="550"/>
      <c r="T1995" s="547"/>
      <c r="U1995" s="547"/>
      <c r="V1995" s="547"/>
      <c r="W1995" s="549"/>
    </row>
    <row r="1996" spans="1:23">
      <c r="A1996" s="565">
        <v>2690</v>
      </c>
      <c r="B1996" s="696" t="s">
        <v>7402</v>
      </c>
      <c r="C1996" s="566">
        <f t="shared" si="31"/>
        <v>2690</v>
      </c>
      <c r="D1996" s="700" t="s">
        <v>2243</v>
      </c>
      <c r="E1996" s="701" t="s">
        <v>9871</v>
      </c>
      <c r="F1996" s="566">
        <v>1</v>
      </c>
      <c r="G1996" s="662">
        <v>23141.783329032707</v>
      </c>
      <c r="H1996" s="662">
        <v>0</v>
      </c>
      <c r="I1996" s="662">
        <v>0</v>
      </c>
      <c r="J1996" s="662">
        <v>0</v>
      </c>
      <c r="K1996" s="566" t="s">
        <v>5352</v>
      </c>
      <c r="L1996" s="549"/>
      <c r="M1996" s="540"/>
      <c r="O1996" s="540"/>
      <c r="S1996" s="550"/>
      <c r="T1996" s="547"/>
      <c r="U1996" s="547"/>
      <c r="V1996" s="547"/>
      <c r="W1996" s="549"/>
    </row>
    <row r="1997" spans="1:23">
      <c r="A1997" s="565">
        <v>2691</v>
      </c>
      <c r="B1997" s="696" t="s">
        <v>7403</v>
      </c>
      <c r="C1997" s="566">
        <f t="shared" si="31"/>
        <v>2691</v>
      </c>
      <c r="D1997" s="700" t="s">
        <v>2243</v>
      </c>
      <c r="E1997" s="701" t="s">
        <v>9872</v>
      </c>
      <c r="F1997" s="566">
        <v>1</v>
      </c>
      <c r="G1997" s="662">
        <v>15201.392177555905</v>
      </c>
      <c r="H1997" s="662">
        <v>15638.46955272334</v>
      </c>
      <c r="I1997" s="662">
        <v>0</v>
      </c>
      <c r="J1997" s="662">
        <v>0</v>
      </c>
      <c r="K1997" s="566" t="s">
        <v>1408</v>
      </c>
      <c r="L1997" s="549"/>
      <c r="M1997" s="540"/>
      <c r="O1997" s="540"/>
      <c r="S1997" s="550"/>
      <c r="T1997" s="547"/>
      <c r="U1997" s="547"/>
      <c r="V1997" s="547"/>
      <c r="W1997" s="549"/>
    </row>
    <row r="1998" spans="1:23">
      <c r="A1998" s="565">
        <v>2692</v>
      </c>
      <c r="B1998" s="696" t="s">
        <v>7404</v>
      </c>
      <c r="C1998" s="566">
        <f t="shared" si="31"/>
        <v>2692</v>
      </c>
      <c r="D1998" s="700" t="s">
        <v>2243</v>
      </c>
      <c r="E1998" s="701" t="s">
        <v>9873</v>
      </c>
      <c r="F1998" s="566">
        <v>1</v>
      </c>
      <c r="G1998" s="662">
        <v>24445.230677493382</v>
      </c>
      <c r="H1998" s="662">
        <v>0</v>
      </c>
      <c r="I1998" s="662">
        <v>0</v>
      </c>
      <c r="J1998" s="662">
        <v>0</v>
      </c>
      <c r="K1998" s="566" t="s">
        <v>5353</v>
      </c>
      <c r="L1998" s="549"/>
      <c r="M1998" s="540"/>
      <c r="O1998" s="540"/>
      <c r="S1998" s="550"/>
      <c r="T1998" s="547"/>
      <c r="U1998" s="547"/>
      <c r="V1998" s="547"/>
      <c r="W1998" s="549"/>
    </row>
    <row r="1999" spans="1:23">
      <c r="A1999" s="565">
        <v>2693</v>
      </c>
      <c r="B1999" s="695" t="s">
        <v>7405</v>
      </c>
      <c r="C1999" s="566">
        <f t="shared" si="31"/>
        <v>2693</v>
      </c>
      <c r="D1999" s="699" t="s">
        <v>2243</v>
      </c>
      <c r="E1999" s="701" t="s">
        <v>9874</v>
      </c>
      <c r="F1999" s="567">
        <v>1</v>
      </c>
      <c r="G1999" s="662">
        <v>23775.913847673135</v>
      </c>
      <c r="H1999" s="662">
        <v>24503.190318318477</v>
      </c>
      <c r="I1999" s="662">
        <v>25268.781084083272</v>
      </c>
      <c r="J1999" s="662">
        <v>26074.648883671623</v>
      </c>
      <c r="K1999" s="568" t="s">
        <v>1409</v>
      </c>
      <c r="L1999" s="549"/>
      <c r="M1999" s="540"/>
      <c r="O1999" s="540"/>
      <c r="S1999" s="550"/>
      <c r="T1999" s="547"/>
      <c r="U1999" s="547"/>
      <c r="V1999" s="547"/>
      <c r="W1999" s="549"/>
    </row>
    <row r="2000" spans="1:23">
      <c r="A2000" s="565">
        <v>2694</v>
      </c>
      <c r="B2000" s="696" t="s">
        <v>7406</v>
      </c>
      <c r="C2000" s="566">
        <f t="shared" si="31"/>
        <v>2694</v>
      </c>
      <c r="D2000" s="700" t="s">
        <v>2243</v>
      </c>
      <c r="E2000" s="701" t="s">
        <v>9875</v>
      </c>
      <c r="F2000" s="566">
        <v>1</v>
      </c>
      <c r="G2000" s="662">
        <v>0</v>
      </c>
      <c r="H2000" s="662">
        <v>0</v>
      </c>
      <c r="I2000" s="662">
        <v>26230.237702976716</v>
      </c>
      <c r="J2000" s="662">
        <v>26978.858957029046</v>
      </c>
      <c r="K2000" s="566" t="s">
        <v>4194</v>
      </c>
      <c r="L2000" s="549"/>
      <c r="M2000" s="540"/>
      <c r="O2000" s="540"/>
      <c r="S2000" s="550"/>
      <c r="T2000" s="547"/>
      <c r="U2000" s="547"/>
      <c r="V2000" s="547"/>
      <c r="W2000" s="549"/>
    </row>
    <row r="2001" spans="1:23">
      <c r="A2001" s="565">
        <v>2695</v>
      </c>
      <c r="B2001" s="696" t="s">
        <v>7407</v>
      </c>
      <c r="C2001" s="566">
        <f t="shared" si="31"/>
        <v>2695</v>
      </c>
      <c r="D2001" s="700" t="s">
        <v>2243</v>
      </c>
      <c r="E2001" s="701" t="s">
        <v>9876</v>
      </c>
      <c r="F2001" s="566">
        <v>1</v>
      </c>
      <c r="G2001" s="662">
        <v>0</v>
      </c>
      <c r="H2001" s="662">
        <v>0</v>
      </c>
      <c r="I2001" s="662">
        <v>0</v>
      </c>
      <c r="J2001" s="662">
        <v>22234.514168306603</v>
      </c>
      <c r="K2001" s="566" t="s">
        <v>4938</v>
      </c>
      <c r="L2001" s="549"/>
      <c r="M2001" s="540"/>
      <c r="O2001" s="540"/>
      <c r="S2001" s="550"/>
      <c r="T2001" s="547"/>
      <c r="U2001" s="547"/>
      <c r="V2001" s="547"/>
      <c r="W2001" s="549"/>
    </row>
    <row r="2002" spans="1:23">
      <c r="A2002" s="565">
        <v>2696</v>
      </c>
      <c r="B2002" s="696" t="s">
        <v>7408</v>
      </c>
      <c r="C2002" s="566">
        <f t="shared" si="31"/>
        <v>2696</v>
      </c>
      <c r="D2002" s="700" t="s">
        <v>2243</v>
      </c>
      <c r="E2002" s="701" t="s">
        <v>9877</v>
      </c>
      <c r="F2002" s="566">
        <v>1</v>
      </c>
      <c r="G2002" s="662">
        <v>0</v>
      </c>
      <c r="H2002" s="662">
        <v>0</v>
      </c>
      <c r="I2002" s="662">
        <v>0</v>
      </c>
      <c r="J2002" s="662">
        <v>22476.116056449449</v>
      </c>
      <c r="K2002" s="566" t="s">
        <v>4939</v>
      </c>
      <c r="L2002" s="549"/>
      <c r="M2002" s="540"/>
      <c r="O2002" s="540"/>
      <c r="S2002" s="550"/>
      <c r="T2002" s="547"/>
      <c r="U2002" s="547"/>
      <c r="V2002" s="547"/>
      <c r="W2002" s="549"/>
    </row>
    <row r="2003" spans="1:23">
      <c r="A2003" s="565">
        <v>2697</v>
      </c>
      <c r="B2003" s="696" t="s">
        <v>7409</v>
      </c>
      <c r="C2003" s="566">
        <f t="shared" si="31"/>
        <v>2697</v>
      </c>
      <c r="D2003" s="700" t="s">
        <v>2243</v>
      </c>
      <c r="E2003" s="701" t="s">
        <v>9878</v>
      </c>
      <c r="F2003" s="566">
        <v>1</v>
      </c>
      <c r="G2003" s="662">
        <v>0</v>
      </c>
      <c r="H2003" s="662">
        <v>0</v>
      </c>
      <c r="I2003" s="662">
        <v>20636.224754438565</v>
      </c>
      <c r="J2003" s="662">
        <v>21209.957811878383</v>
      </c>
      <c r="K2003" s="566" t="s">
        <v>4195</v>
      </c>
      <c r="L2003" s="549"/>
      <c r="M2003" s="540"/>
      <c r="O2003" s="540"/>
      <c r="S2003" s="550"/>
      <c r="T2003" s="547"/>
      <c r="U2003" s="547"/>
      <c r="V2003" s="547"/>
      <c r="W2003" s="549"/>
    </row>
    <row r="2004" spans="1:23">
      <c r="A2004" s="565">
        <v>2698</v>
      </c>
      <c r="B2004" s="696" t="s">
        <v>7410</v>
      </c>
      <c r="C2004" s="566">
        <f t="shared" si="31"/>
        <v>2698</v>
      </c>
      <c r="D2004" s="700" t="s">
        <v>2243</v>
      </c>
      <c r="E2004" s="701" t="s">
        <v>9879</v>
      </c>
      <c r="F2004" s="566">
        <v>1</v>
      </c>
      <c r="G2004" s="662">
        <v>0</v>
      </c>
      <c r="H2004" s="662">
        <v>0</v>
      </c>
      <c r="I2004" s="662">
        <v>0</v>
      </c>
      <c r="J2004" s="662">
        <v>24390.346400965827</v>
      </c>
      <c r="K2004" s="566" t="s">
        <v>4940</v>
      </c>
      <c r="L2004" s="549"/>
      <c r="M2004" s="540"/>
      <c r="O2004" s="540"/>
      <c r="S2004" s="550"/>
      <c r="T2004" s="547"/>
      <c r="U2004" s="547"/>
      <c r="V2004" s="547"/>
      <c r="W2004" s="549"/>
    </row>
    <row r="2005" spans="1:23">
      <c r="A2005" s="565">
        <v>2699</v>
      </c>
      <c r="B2005" s="696" t="s">
        <v>7411</v>
      </c>
      <c r="C2005" s="566">
        <f t="shared" si="31"/>
        <v>2699</v>
      </c>
      <c r="D2005" s="700" t="s">
        <v>2243</v>
      </c>
      <c r="E2005" s="701" t="s">
        <v>9880</v>
      </c>
      <c r="F2005" s="566">
        <v>1</v>
      </c>
      <c r="G2005" s="662">
        <v>0</v>
      </c>
      <c r="H2005" s="662">
        <v>0</v>
      </c>
      <c r="I2005" s="662">
        <v>21119.42853072425</v>
      </c>
      <c r="J2005" s="662">
        <v>21708.250141951779</v>
      </c>
      <c r="K2005" s="566" t="s">
        <v>4196</v>
      </c>
      <c r="L2005" s="549"/>
      <c r="M2005" s="540"/>
      <c r="O2005" s="540"/>
      <c r="S2005" s="550"/>
      <c r="T2005" s="547"/>
      <c r="U2005" s="547"/>
      <c r="V2005" s="547"/>
      <c r="W2005" s="549"/>
    </row>
    <row r="2006" spans="1:23">
      <c r="A2006" s="565">
        <v>2700</v>
      </c>
      <c r="B2006" s="696" t="s">
        <v>7412</v>
      </c>
      <c r="C2006" s="566">
        <f t="shared" si="31"/>
        <v>2700</v>
      </c>
      <c r="D2006" s="700" t="s">
        <v>2243</v>
      </c>
      <c r="E2006" s="701" t="s">
        <v>9881</v>
      </c>
      <c r="F2006" s="566">
        <v>1</v>
      </c>
      <c r="G2006" s="662">
        <v>0</v>
      </c>
      <c r="H2006" s="662">
        <v>0</v>
      </c>
      <c r="I2006" s="662">
        <v>0</v>
      </c>
      <c r="J2006" s="662">
        <v>18387.468718647473</v>
      </c>
      <c r="K2006" s="566" t="s">
        <v>4941</v>
      </c>
      <c r="L2006" s="549"/>
      <c r="M2006" s="540"/>
      <c r="O2006" s="540"/>
      <c r="S2006" s="550"/>
      <c r="T2006" s="547"/>
      <c r="U2006" s="547"/>
      <c r="V2006" s="547"/>
      <c r="W2006" s="549"/>
    </row>
    <row r="2007" spans="1:23">
      <c r="A2007" s="565">
        <v>2701</v>
      </c>
      <c r="B2007" s="695" t="s">
        <v>7413</v>
      </c>
      <c r="C2007" s="566">
        <f t="shared" si="31"/>
        <v>2701</v>
      </c>
      <c r="D2007" s="699" t="s">
        <v>2243</v>
      </c>
      <c r="E2007" s="701" t="s">
        <v>9882</v>
      </c>
      <c r="F2007" s="567">
        <v>1</v>
      </c>
      <c r="G2007" s="662">
        <v>0</v>
      </c>
      <c r="H2007" s="662">
        <v>0</v>
      </c>
      <c r="I2007" s="662">
        <v>19576.893398735323</v>
      </c>
      <c r="J2007" s="662">
        <v>20117.464350153936</v>
      </c>
      <c r="K2007" s="568" t="s">
        <v>4197</v>
      </c>
      <c r="L2007" s="549"/>
      <c r="M2007" s="540"/>
      <c r="O2007" s="540"/>
      <c r="S2007" s="550"/>
      <c r="T2007" s="547"/>
      <c r="U2007" s="547"/>
      <c r="V2007" s="547"/>
      <c r="W2007" s="549"/>
    </row>
    <row r="2008" spans="1:23">
      <c r="A2008" s="565">
        <v>2702</v>
      </c>
      <c r="B2008" s="696" t="s">
        <v>7414</v>
      </c>
      <c r="C2008" s="566">
        <f t="shared" si="31"/>
        <v>2702</v>
      </c>
      <c r="D2008" s="700" t="s">
        <v>2243</v>
      </c>
      <c r="E2008" s="701" t="s">
        <v>9883</v>
      </c>
      <c r="F2008" s="566">
        <v>1</v>
      </c>
      <c r="G2008" s="662">
        <v>0</v>
      </c>
      <c r="H2008" s="662">
        <v>0</v>
      </c>
      <c r="I2008" s="662">
        <v>0</v>
      </c>
      <c r="J2008" s="662">
        <v>17990.993825284859</v>
      </c>
      <c r="K2008" s="566" t="s">
        <v>4942</v>
      </c>
      <c r="L2008" s="549"/>
      <c r="M2008" s="540"/>
      <c r="O2008" s="540"/>
      <c r="S2008" s="550"/>
      <c r="T2008" s="547"/>
      <c r="U2008" s="547"/>
      <c r="V2008" s="547"/>
      <c r="W2008" s="549"/>
    </row>
    <row r="2009" spans="1:23">
      <c r="A2009" s="565">
        <v>2703</v>
      </c>
      <c r="B2009" s="696" t="s">
        <v>7415</v>
      </c>
      <c r="C2009" s="566">
        <f t="shared" si="31"/>
        <v>2703</v>
      </c>
      <c r="D2009" s="700" t="s">
        <v>2243</v>
      </c>
      <c r="E2009" s="701" t="s">
        <v>9884</v>
      </c>
      <c r="F2009" s="566">
        <v>1</v>
      </c>
      <c r="G2009" s="662">
        <v>15960.947403523132</v>
      </c>
      <c r="H2009" s="662">
        <v>0</v>
      </c>
      <c r="I2009" s="662">
        <v>0</v>
      </c>
      <c r="J2009" s="662">
        <v>0</v>
      </c>
      <c r="K2009" s="566" t="s">
        <v>5354</v>
      </c>
      <c r="L2009" s="549"/>
      <c r="M2009" s="540"/>
      <c r="O2009" s="540"/>
      <c r="S2009" s="550"/>
      <c r="T2009" s="547"/>
      <c r="U2009" s="547"/>
      <c r="V2009" s="547"/>
      <c r="W2009" s="549"/>
    </row>
    <row r="2010" spans="1:23">
      <c r="A2010" s="565">
        <v>2704</v>
      </c>
      <c r="B2010" s="696" t="s">
        <v>7416</v>
      </c>
      <c r="C2010" s="566">
        <f t="shared" si="31"/>
        <v>2704</v>
      </c>
      <c r="D2010" s="700" t="s">
        <v>2243</v>
      </c>
      <c r="E2010" s="701" t="s">
        <v>9885</v>
      </c>
      <c r="F2010" s="566">
        <v>1</v>
      </c>
      <c r="G2010" s="662">
        <v>14876.73156188597</v>
      </c>
      <c r="H2010" s="662">
        <v>0</v>
      </c>
      <c r="I2010" s="662">
        <v>0</v>
      </c>
      <c r="J2010" s="662">
        <v>0</v>
      </c>
      <c r="K2010" s="566" t="s">
        <v>5355</v>
      </c>
      <c r="L2010" s="549"/>
      <c r="M2010" s="540"/>
      <c r="O2010" s="540"/>
      <c r="S2010" s="550"/>
      <c r="T2010" s="547"/>
      <c r="U2010" s="547"/>
      <c r="V2010" s="547"/>
      <c r="W2010" s="549"/>
    </row>
    <row r="2011" spans="1:23">
      <c r="A2011" s="565">
        <v>2705</v>
      </c>
      <c r="B2011" s="696" t="s">
        <v>7417</v>
      </c>
      <c r="C2011" s="566">
        <f t="shared" si="31"/>
        <v>2705</v>
      </c>
      <c r="D2011" s="700" t="s">
        <v>2243</v>
      </c>
      <c r="E2011" s="701" t="s">
        <v>9886</v>
      </c>
      <c r="F2011" s="566">
        <v>1</v>
      </c>
      <c r="G2011" s="662">
        <v>17557.3494106695</v>
      </c>
      <c r="H2011" s="662">
        <v>18061.323463334727</v>
      </c>
      <c r="I2011" s="662">
        <v>18565.297515999959</v>
      </c>
      <c r="J2011" s="662">
        <v>19095.768541170433</v>
      </c>
      <c r="K2011" s="566" t="s">
        <v>1410</v>
      </c>
      <c r="L2011" s="549"/>
      <c r="M2011" s="540"/>
      <c r="O2011" s="540"/>
      <c r="S2011" s="550"/>
      <c r="T2011" s="547"/>
      <c r="U2011" s="547"/>
      <c r="V2011" s="547"/>
      <c r="W2011" s="549"/>
    </row>
    <row r="2012" spans="1:23">
      <c r="A2012" s="565">
        <v>2706</v>
      </c>
      <c r="B2012" s="696" t="s">
        <v>7418</v>
      </c>
      <c r="C2012" s="566">
        <f t="shared" si="31"/>
        <v>2706</v>
      </c>
      <c r="D2012" s="700" t="s">
        <v>2243</v>
      </c>
      <c r="E2012" s="701" t="s">
        <v>9887</v>
      </c>
      <c r="F2012" s="566">
        <v>1</v>
      </c>
      <c r="G2012" s="662">
        <v>17960.019224240907</v>
      </c>
      <c r="H2012" s="662">
        <v>0</v>
      </c>
      <c r="I2012" s="662">
        <v>0</v>
      </c>
      <c r="J2012" s="662">
        <v>0</v>
      </c>
      <c r="K2012" s="566" t="s">
        <v>5356</v>
      </c>
      <c r="L2012" s="549"/>
      <c r="M2012" s="540"/>
      <c r="O2012" s="540"/>
      <c r="S2012" s="550"/>
      <c r="T2012" s="547"/>
      <c r="U2012" s="547"/>
      <c r="V2012" s="547"/>
      <c r="W2012" s="549"/>
    </row>
    <row r="2013" spans="1:23">
      <c r="A2013" s="565">
        <v>2707</v>
      </c>
      <c r="B2013" s="696" t="s">
        <v>7419</v>
      </c>
      <c r="C2013" s="566">
        <f t="shared" si="31"/>
        <v>2707</v>
      </c>
      <c r="D2013" s="700" t="s">
        <v>2243</v>
      </c>
      <c r="E2013" s="701" t="s">
        <v>9888</v>
      </c>
      <c r="F2013" s="566">
        <v>1</v>
      </c>
      <c r="G2013" s="662">
        <v>18579.511245119989</v>
      </c>
      <c r="H2013" s="662">
        <v>0</v>
      </c>
      <c r="I2013" s="662">
        <v>0</v>
      </c>
      <c r="J2013" s="662">
        <v>0</v>
      </c>
      <c r="K2013" s="566" t="s">
        <v>5357</v>
      </c>
      <c r="L2013" s="549"/>
      <c r="M2013" s="540"/>
      <c r="O2013" s="540"/>
      <c r="S2013" s="550"/>
      <c r="T2013" s="547"/>
      <c r="U2013" s="547"/>
      <c r="V2013" s="547"/>
      <c r="W2013" s="549"/>
    </row>
    <row r="2014" spans="1:23">
      <c r="A2014" s="565">
        <v>2708</v>
      </c>
      <c r="B2014" s="696" t="s">
        <v>7420</v>
      </c>
      <c r="C2014" s="566">
        <f t="shared" si="31"/>
        <v>2708</v>
      </c>
      <c r="D2014" s="700" t="s">
        <v>2243</v>
      </c>
      <c r="E2014" s="701" t="s">
        <v>9889</v>
      </c>
      <c r="F2014" s="566">
        <v>1</v>
      </c>
      <c r="G2014" s="662">
        <v>18780.846151905695</v>
      </c>
      <c r="H2014" s="662">
        <v>0</v>
      </c>
      <c r="I2014" s="662">
        <v>0</v>
      </c>
      <c r="J2014" s="662">
        <v>0</v>
      </c>
      <c r="K2014" s="566" t="s">
        <v>5358</v>
      </c>
      <c r="L2014" s="549"/>
      <c r="M2014" s="540"/>
      <c r="O2014" s="540"/>
      <c r="S2014" s="550"/>
      <c r="T2014" s="547"/>
      <c r="U2014" s="547"/>
      <c r="V2014" s="547"/>
      <c r="W2014" s="549"/>
    </row>
    <row r="2015" spans="1:23">
      <c r="A2015" s="565">
        <v>2709</v>
      </c>
      <c r="B2015" s="696" t="s">
        <v>7421</v>
      </c>
      <c r="C2015" s="566">
        <f t="shared" si="31"/>
        <v>2709</v>
      </c>
      <c r="D2015" s="700" t="s">
        <v>2243</v>
      </c>
      <c r="E2015" s="701" t="s">
        <v>9890</v>
      </c>
      <c r="F2015" s="566">
        <v>1</v>
      </c>
      <c r="G2015" s="662">
        <v>20004.342893141893</v>
      </c>
      <c r="H2015" s="662">
        <v>0</v>
      </c>
      <c r="I2015" s="662">
        <v>0</v>
      </c>
      <c r="J2015" s="662">
        <v>0</v>
      </c>
      <c r="K2015" s="566" t="s">
        <v>5359</v>
      </c>
      <c r="L2015" s="549"/>
      <c r="M2015" s="540"/>
      <c r="O2015" s="540"/>
      <c r="S2015" s="550"/>
      <c r="T2015" s="547"/>
      <c r="U2015" s="547"/>
      <c r="V2015" s="547"/>
      <c r="W2015" s="549"/>
    </row>
    <row r="2016" spans="1:23">
      <c r="A2016" s="565">
        <v>2710</v>
      </c>
      <c r="B2016" s="696" t="s">
        <v>7422</v>
      </c>
      <c r="C2016" s="566">
        <f t="shared" si="31"/>
        <v>2710</v>
      </c>
      <c r="D2016" s="700" t="s">
        <v>2243</v>
      </c>
      <c r="E2016" s="701" t="s">
        <v>9891</v>
      </c>
      <c r="F2016" s="566">
        <v>1</v>
      </c>
      <c r="G2016" s="662">
        <v>20654.809515064931</v>
      </c>
      <c r="H2016" s="662">
        <v>0</v>
      </c>
      <c r="I2016" s="662">
        <v>0</v>
      </c>
      <c r="J2016" s="662">
        <v>0</v>
      </c>
      <c r="K2016" s="566" t="s">
        <v>5360</v>
      </c>
      <c r="L2016" s="549"/>
      <c r="M2016" s="540"/>
      <c r="O2016" s="540"/>
      <c r="S2016" s="550"/>
      <c r="T2016" s="547"/>
      <c r="U2016" s="547"/>
      <c r="V2016" s="547"/>
      <c r="W2016" s="549"/>
    </row>
    <row r="2017" spans="1:23">
      <c r="A2017" s="565">
        <v>2711</v>
      </c>
      <c r="B2017" s="695" t="s">
        <v>7423</v>
      </c>
      <c r="C2017" s="566">
        <f t="shared" si="31"/>
        <v>2711</v>
      </c>
      <c r="D2017" s="699" t="s">
        <v>2243</v>
      </c>
      <c r="E2017" s="701" t="s">
        <v>9892</v>
      </c>
      <c r="F2017" s="567">
        <v>1</v>
      </c>
      <c r="G2017" s="662">
        <v>19384.85087226281</v>
      </c>
      <c r="H2017" s="662">
        <v>0</v>
      </c>
      <c r="I2017" s="662">
        <v>0</v>
      </c>
      <c r="J2017" s="662">
        <v>0</v>
      </c>
      <c r="K2017" s="568" t="s">
        <v>5361</v>
      </c>
      <c r="L2017" s="549"/>
      <c r="M2017" s="540"/>
      <c r="O2017" s="540"/>
      <c r="S2017" s="550"/>
      <c r="T2017" s="547"/>
      <c r="U2017" s="547"/>
      <c r="V2017" s="547"/>
      <c r="W2017" s="549"/>
    </row>
    <row r="2018" spans="1:23">
      <c r="A2018" s="565">
        <v>2712</v>
      </c>
      <c r="B2018" s="696" t="s">
        <v>7424</v>
      </c>
      <c r="C2018" s="566">
        <f t="shared" si="31"/>
        <v>2712</v>
      </c>
      <c r="D2018" s="700" t="s">
        <v>2243</v>
      </c>
      <c r="E2018" s="701" t="s">
        <v>9893</v>
      </c>
      <c r="F2018" s="566">
        <v>1</v>
      </c>
      <c r="G2018" s="662">
        <v>18861.244982976448</v>
      </c>
      <c r="H2018" s="662">
        <v>0</v>
      </c>
      <c r="I2018" s="662">
        <v>0</v>
      </c>
      <c r="J2018" s="662">
        <v>0</v>
      </c>
      <c r="K2018" s="566" t="s">
        <v>5362</v>
      </c>
      <c r="L2018" s="549"/>
      <c r="M2018" s="540"/>
      <c r="O2018" s="540"/>
      <c r="S2018" s="550"/>
      <c r="T2018" s="547"/>
      <c r="U2018" s="547"/>
      <c r="V2018" s="547"/>
      <c r="W2018" s="549"/>
    </row>
    <row r="2019" spans="1:23">
      <c r="A2019" s="565">
        <v>2713</v>
      </c>
      <c r="B2019" s="696" t="s">
        <v>7425</v>
      </c>
      <c r="C2019" s="566">
        <f t="shared" si="31"/>
        <v>2713</v>
      </c>
      <c r="D2019" s="700" t="s">
        <v>2243</v>
      </c>
      <c r="E2019" s="701" t="s">
        <v>9894</v>
      </c>
      <c r="F2019" s="566">
        <v>1</v>
      </c>
      <c r="G2019" s="662">
        <v>20077.125692831865</v>
      </c>
      <c r="H2019" s="662">
        <v>0</v>
      </c>
      <c r="I2019" s="662">
        <v>0</v>
      </c>
      <c r="J2019" s="662">
        <v>0</v>
      </c>
      <c r="K2019" s="566" t="s">
        <v>5363</v>
      </c>
      <c r="L2019" s="549"/>
      <c r="M2019" s="540"/>
      <c r="O2019" s="540"/>
      <c r="S2019" s="550"/>
      <c r="T2019" s="547"/>
      <c r="U2019" s="547"/>
      <c r="V2019" s="547"/>
      <c r="W2019" s="549"/>
    </row>
    <row r="2020" spans="1:23">
      <c r="A2020" s="565">
        <v>2714</v>
      </c>
      <c r="B2020" s="696" t="s">
        <v>7426</v>
      </c>
      <c r="C2020" s="566">
        <f t="shared" si="31"/>
        <v>2714</v>
      </c>
      <c r="D2020" s="700" t="s">
        <v>2243</v>
      </c>
      <c r="E2020" s="701" t="s">
        <v>9895</v>
      </c>
      <c r="F2020" s="566">
        <v>1</v>
      </c>
      <c r="G2020" s="662">
        <v>20781.056630116578</v>
      </c>
      <c r="H2020" s="662">
        <v>0</v>
      </c>
      <c r="I2020" s="662">
        <v>0</v>
      </c>
      <c r="J2020" s="662">
        <v>0</v>
      </c>
      <c r="K2020" s="566" t="s">
        <v>5364</v>
      </c>
      <c r="L2020" s="549"/>
      <c r="M2020" s="540"/>
      <c r="O2020" s="540"/>
      <c r="S2020" s="550"/>
      <c r="T2020" s="547"/>
      <c r="U2020" s="547"/>
      <c r="V2020" s="547"/>
      <c r="W2020" s="549"/>
    </row>
    <row r="2021" spans="1:23">
      <c r="A2021" s="565">
        <v>2715</v>
      </c>
      <c r="B2021" s="696" t="s">
        <v>7427</v>
      </c>
      <c r="C2021" s="566">
        <f t="shared" si="31"/>
        <v>2715</v>
      </c>
      <c r="D2021" s="700" t="s">
        <v>2243</v>
      </c>
      <c r="E2021" s="701" t="s">
        <v>9896</v>
      </c>
      <c r="F2021" s="566">
        <v>1</v>
      </c>
      <c r="G2021" s="662">
        <v>0</v>
      </c>
      <c r="H2021" s="662">
        <v>0</v>
      </c>
      <c r="I2021" s="662">
        <v>0</v>
      </c>
      <c r="J2021" s="662">
        <v>19589.283239152905</v>
      </c>
      <c r="K2021" s="566" t="s">
        <v>4943</v>
      </c>
      <c r="L2021" s="549"/>
      <c r="M2021" s="540"/>
      <c r="O2021" s="540"/>
      <c r="S2021" s="550"/>
      <c r="T2021" s="547"/>
      <c r="U2021" s="547"/>
      <c r="V2021" s="547"/>
      <c r="W2021" s="549"/>
    </row>
    <row r="2022" spans="1:23">
      <c r="A2022" s="565">
        <v>2716</v>
      </c>
      <c r="B2022" s="696" t="s">
        <v>7428</v>
      </c>
      <c r="C2022" s="566">
        <f t="shared" si="31"/>
        <v>2716</v>
      </c>
      <c r="D2022" s="700" t="s">
        <v>2243</v>
      </c>
      <c r="E2022" s="701" t="s">
        <v>9897</v>
      </c>
      <c r="F2022" s="566">
        <v>1</v>
      </c>
      <c r="G2022" s="662">
        <v>0</v>
      </c>
      <c r="H2022" s="662">
        <v>0</v>
      </c>
      <c r="I2022" s="662">
        <v>17150.078864518146</v>
      </c>
      <c r="J2022" s="662">
        <v>17610.150684241464</v>
      </c>
      <c r="K2022" s="566" t="s">
        <v>4198</v>
      </c>
      <c r="L2022" s="549"/>
      <c r="M2022" s="540"/>
      <c r="O2022" s="540"/>
      <c r="S2022" s="550"/>
      <c r="T2022" s="547"/>
      <c r="U2022" s="547"/>
      <c r="V2022" s="547"/>
      <c r="W2022" s="549"/>
    </row>
    <row r="2023" spans="1:23">
      <c r="A2023" s="565">
        <v>2717</v>
      </c>
      <c r="B2023" s="696" t="s">
        <v>7429</v>
      </c>
      <c r="C2023" s="566">
        <f t="shared" si="31"/>
        <v>2717</v>
      </c>
      <c r="D2023" s="700" t="s">
        <v>2243</v>
      </c>
      <c r="E2023" s="701" t="s">
        <v>9898</v>
      </c>
      <c r="F2023" s="566">
        <v>1</v>
      </c>
      <c r="G2023" s="662">
        <v>0</v>
      </c>
      <c r="H2023" s="662">
        <v>0</v>
      </c>
      <c r="I2023" s="662">
        <v>18566.296851037267</v>
      </c>
      <c r="J2023" s="662">
        <v>19070.187237921196</v>
      </c>
      <c r="K2023" s="566" t="s">
        <v>4199</v>
      </c>
      <c r="L2023" s="549"/>
      <c r="M2023" s="540"/>
      <c r="O2023" s="540"/>
      <c r="S2023" s="550"/>
      <c r="T2023" s="547"/>
      <c r="U2023" s="547"/>
      <c r="V2023" s="547"/>
      <c r="W2023" s="549"/>
    </row>
    <row r="2024" spans="1:23">
      <c r="A2024" s="565">
        <v>2718</v>
      </c>
      <c r="B2024" s="696" t="s">
        <v>7430</v>
      </c>
      <c r="C2024" s="566">
        <f t="shared" si="31"/>
        <v>2718</v>
      </c>
      <c r="D2024" s="700" t="s">
        <v>2243</v>
      </c>
      <c r="E2024" s="701" t="s">
        <v>9899</v>
      </c>
      <c r="F2024" s="566">
        <v>1</v>
      </c>
      <c r="G2024" s="662">
        <v>0</v>
      </c>
      <c r="H2024" s="662">
        <v>0</v>
      </c>
      <c r="I2024" s="662">
        <v>19345.216743622786</v>
      </c>
      <c r="J2024" s="662">
        <v>19873.214283083984</v>
      </c>
      <c r="K2024" s="566" t="s">
        <v>4200</v>
      </c>
      <c r="L2024" s="549"/>
      <c r="M2024" s="540"/>
      <c r="O2024" s="540"/>
      <c r="S2024" s="550"/>
      <c r="T2024" s="547"/>
      <c r="U2024" s="547"/>
      <c r="V2024" s="547"/>
      <c r="W2024" s="549"/>
    </row>
    <row r="2025" spans="1:23">
      <c r="A2025" s="565">
        <v>2719</v>
      </c>
      <c r="B2025" s="696" t="s">
        <v>7431</v>
      </c>
      <c r="C2025" s="566">
        <f t="shared" si="31"/>
        <v>2719</v>
      </c>
      <c r="D2025" s="700" t="s">
        <v>2243</v>
      </c>
      <c r="E2025" s="701" t="s">
        <v>9900</v>
      </c>
      <c r="F2025" s="566">
        <v>1</v>
      </c>
      <c r="G2025" s="662">
        <v>0</v>
      </c>
      <c r="H2025" s="662">
        <v>0</v>
      </c>
      <c r="I2025" s="662">
        <v>20187.866445601656</v>
      </c>
      <c r="J2025" s="662">
        <v>20741.960787468965</v>
      </c>
      <c r="K2025" s="566" t="s">
        <v>4201</v>
      </c>
      <c r="L2025" s="549"/>
      <c r="M2025" s="540"/>
      <c r="O2025" s="540"/>
      <c r="S2025" s="550"/>
      <c r="T2025" s="547"/>
      <c r="U2025" s="547"/>
      <c r="V2025" s="547"/>
      <c r="W2025" s="549"/>
    </row>
    <row r="2026" spans="1:23">
      <c r="A2026" s="565">
        <v>2720</v>
      </c>
      <c r="B2026" s="696" t="s">
        <v>7432</v>
      </c>
      <c r="C2026" s="566">
        <f t="shared" si="31"/>
        <v>2720</v>
      </c>
      <c r="D2026" s="700" t="s">
        <v>2243</v>
      </c>
      <c r="E2026" s="701" t="s">
        <v>9901</v>
      </c>
      <c r="F2026" s="566">
        <v>1</v>
      </c>
      <c r="G2026" s="662">
        <v>0</v>
      </c>
      <c r="H2026" s="662">
        <v>0</v>
      </c>
      <c r="I2026" s="662">
        <v>21809.436040166049</v>
      </c>
      <c r="J2026" s="662">
        <v>22413.688066090486</v>
      </c>
      <c r="K2026" s="566" t="s">
        <v>4202</v>
      </c>
      <c r="L2026" s="549"/>
      <c r="M2026" s="540"/>
      <c r="O2026" s="540"/>
      <c r="S2026" s="550"/>
      <c r="T2026" s="547"/>
      <c r="U2026" s="547"/>
      <c r="V2026" s="547"/>
      <c r="W2026" s="549"/>
    </row>
    <row r="2027" spans="1:23">
      <c r="A2027" s="565">
        <v>2721</v>
      </c>
      <c r="B2027" s="696" t="s">
        <v>7433</v>
      </c>
      <c r="C2027" s="566">
        <f t="shared" si="31"/>
        <v>2721</v>
      </c>
      <c r="D2027" s="700" t="s">
        <v>2243</v>
      </c>
      <c r="E2027" s="701" t="s">
        <v>9902</v>
      </c>
      <c r="F2027" s="566">
        <v>1</v>
      </c>
      <c r="G2027" s="662">
        <v>0</v>
      </c>
      <c r="H2027" s="662">
        <v>0</v>
      </c>
      <c r="I2027" s="662">
        <v>22255.544705919576</v>
      </c>
      <c r="J2027" s="662">
        <v>22873.631738793349</v>
      </c>
      <c r="K2027" s="566" t="s">
        <v>4203</v>
      </c>
      <c r="L2027" s="549"/>
      <c r="M2027" s="540"/>
      <c r="O2027" s="540"/>
      <c r="S2027" s="550"/>
      <c r="T2027" s="547"/>
      <c r="U2027" s="547"/>
      <c r="V2027" s="547"/>
      <c r="W2027" s="549"/>
    </row>
    <row r="2028" spans="1:23">
      <c r="A2028" s="565">
        <v>2722</v>
      </c>
      <c r="B2028" s="695" t="s">
        <v>7434</v>
      </c>
      <c r="C2028" s="566">
        <f t="shared" si="31"/>
        <v>2722</v>
      </c>
      <c r="D2028" s="699" t="s">
        <v>2244</v>
      </c>
      <c r="E2028" s="701" t="s">
        <v>9903</v>
      </c>
      <c r="F2028" s="567">
        <v>2</v>
      </c>
      <c r="G2028" s="662">
        <v>12449.517134548039</v>
      </c>
      <c r="H2028" s="662">
        <v>12853.834640276638</v>
      </c>
      <c r="I2028" s="662">
        <v>13279.462743780103</v>
      </c>
      <c r="J2028" s="662">
        <v>13727.47184038046</v>
      </c>
      <c r="K2028" s="568" t="s">
        <v>1411</v>
      </c>
      <c r="L2028" s="549"/>
      <c r="M2028" s="540"/>
      <c r="O2028" s="540"/>
      <c r="S2028" s="550"/>
      <c r="T2028" s="547"/>
      <c r="U2028" s="547"/>
      <c r="V2028" s="547"/>
      <c r="W2028" s="549"/>
    </row>
    <row r="2029" spans="1:23">
      <c r="A2029" s="565">
        <v>2723</v>
      </c>
      <c r="B2029" s="695" t="s">
        <v>7435</v>
      </c>
      <c r="C2029" s="566">
        <f t="shared" si="31"/>
        <v>2723</v>
      </c>
      <c r="D2029" s="699" t="s">
        <v>2244</v>
      </c>
      <c r="E2029" s="701" t="s">
        <v>9904</v>
      </c>
      <c r="F2029" s="567">
        <v>2</v>
      </c>
      <c r="G2029" s="662">
        <v>13752.582734987796</v>
      </c>
      <c r="H2029" s="662">
        <v>14210.80924148021</v>
      </c>
      <c r="I2029" s="662">
        <v>14693.168297051012</v>
      </c>
      <c r="J2029" s="662">
        <v>15200.924914353496</v>
      </c>
      <c r="K2029" s="568" t="s">
        <v>1412</v>
      </c>
      <c r="L2029" s="549"/>
      <c r="M2029" s="540"/>
      <c r="O2029" s="540"/>
      <c r="S2029" s="550"/>
      <c r="T2029" s="547"/>
      <c r="U2029" s="547"/>
      <c r="V2029" s="547"/>
      <c r="W2029" s="549"/>
    </row>
    <row r="2030" spans="1:23">
      <c r="A2030" s="565">
        <v>2724</v>
      </c>
      <c r="B2030" s="695" t="s">
        <v>7436</v>
      </c>
      <c r="C2030" s="566">
        <f t="shared" si="31"/>
        <v>2724</v>
      </c>
      <c r="D2030" s="699" t="s">
        <v>2244</v>
      </c>
      <c r="E2030" s="701" t="s">
        <v>9905</v>
      </c>
      <c r="F2030" s="567">
        <v>2</v>
      </c>
      <c r="G2030" s="662">
        <v>14590.7238756232</v>
      </c>
      <c r="H2030" s="662">
        <v>15075.904882497522</v>
      </c>
      <c r="I2030" s="662">
        <v>15586.629414101988</v>
      </c>
      <c r="J2030" s="662">
        <v>16124.259791755543</v>
      </c>
      <c r="K2030" s="568" t="s">
        <v>1413</v>
      </c>
      <c r="L2030" s="549"/>
      <c r="M2030" s="540"/>
      <c r="O2030" s="540"/>
      <c r="S2030" s="550"/>
      <c r="T2030" s="547"/>
      <c r="U2030" s="547"/>
      <c r="V2030" s="547"/>
      <c r="W2030" s="549"/>
    </row>
    <row r="2031" spans="1:23">
      <c r="A2031" s="565">
        <v>2725</v>
      </c>
      <c r="B2031" s="696" t="s">
        <v>7437</v>
      </c>
      <c r="C2031" s="566">
        <f t="shared" si="31"/>
        <v>2725</v>
      </c>
      <c r="D2031" s="700" t="s">
        <v>2244</v>
      </c>
      <c r="E2031" s="701" t="s">
        <v>9906</v>
      </c>
      <c r="F2031" s="566">
        <v>2</v>
      </c>
      <c r="G2031" s="662">
        <v>14590.7238756232</v>
      </c>
      <c r="H2031" s="662">
        <v>15075.904882497522</v>
      </c>
      <c r="I2031" s="662">
        <v>15586.629414101988</v>
      </c>
      <c r="J2031" s="662">
        <v>16124.259791755543</v>
      </c>
      <c r="K2031" s="566" t="s">
        <v>1414</v>
      </c>
      <c r="L2031" s="549"/>
      <c r="M2031" s="540"/>
      <c r="O2031" s="540"/>
      <c r="S2031" s="550"/>
      <c r="T2031" s="547"/>
      <c r="U2031" s="547"/>
      <c r="V2031" s="547"/>
      <c r="W2031" s="549"/>
    </row>
    <row r="2032" spans="1:23">
      <c r="A2032" s="565">
        <v>2726</v>
      </c>
      <c r="B2032" s="695" t="s">
        <v>7438</v>
      </c>
      <c r="C2032" s="566">
        <f t="shared" si="31"/>
        <v>2726</v>
      </c>
      <c r="D2032" s="699" t="s">
        <v>2244</v>
      </c>
      <c r="E2032" s="701" t="s">
        <v>9907</v>
      </c>
      <c r="F2032" s="567">
        <v>2</v>
      </c>
      <c r="G2032" s="662">
        <v>19844.278668521485</v>
      </c>
      <c r="H2032" s="662">
        <v>20564.94664624134</v>
      </c>
      <c r="I2032" s="662">
        <v>21323.565003560274</v>
      </c>
      <c r="J2032" s="662">
        <v>22122.079913791054</v>
      </c>
      <c r="K2032" s="568" t="s">
        <v>1415</v>
      </c>
      <c r="L2032" s="549"/>
      <c r="M2032" s="540"/>
      <c r="O2032" s="540"/>
      <c r="S2032" s="550"/>
      <c r="T2032" s="547"/>
      <c r="U2032" s="547"/>
      <c r="V2032" s="547"/>
      <c r="W2032" s="549"/>
    </row>
    <row r="2033" spans="1:23">
      <c r="A2033" s="565">
        <v>2727</v>
      </c>
      <c r="B2033" s="696" t="s">
        <v>7439</v>
      </c>
      <c r="C2033" s="566">
        <f t="shared" si="31"/>
        <v>2727</v>
      </c>
      <c r="D2033" s="700" t="s">
        <v>2244</v>
      </c>
      <c r="E2033" s="701" t="s">
        <v>9908</v>
      </c>
      <c r="F2033" s="566">
        <v>2</v>
      </c>
      <c r="G2033" s="662">
        <v>18566.453965106612</v>
      </c>
      <c r="H2033" s="662">
        <v>19233.602176725213</v>
      </c>
      <c r="I2033" s="662">
        <v>19935.878816639368</v>
      </c>
      <c r="J2033" s="662">
        <v>20675.084095163391</v>
      </c>
      <c r="K2033" s="566" t="s">
        <v>1416</v>
      </c>
      <c r="L2033" s="549"/>
      <c r="M2033" s="540"/>
      <c r="O2033" s="540"/>
      <c r="S2033" s="550"/>
      <c r="T2033" s="547"/>
      <c r="U2033" s="547"/>
      <c r="V2033" s="547"/>
      <c r="W2033" s="549"/>
    </row>
    <row r="2034" spans="1:23">
      <c r="A2034" s="565">
        <v>2728</v>
      </c>
      <c r="B2034" s="696" t="s">
        <v>7440</v>
      </c>
      <c r="C2034" s="566">
        <f t="shared" si="31"/>
        <v>2728</v>
      </c>
      <c r="D2034" s="700" t="s">
        <v>3215</v>
      </c>
      <c r="E2034" s="701" t="s">
        <v>9909</v>
      </c>
      <c r="F2034" s="566">
        <v>2</v>
      </c>
      <c r="G2034" s="662">
        <v>0</v>
      </c>
      <c r="H2034" s="662">
        <v>17498.023779398449</v>
      </c>
      <c r="I2034" s="662">
        <v>18136.514588986462</v>
      </c>
      <c r="J2034" s="662">
        <v>18774.956744241659</v>
      </c>
      <c r="K2034" s="566" t="s">
        <v>3216</v>
      </c>
      <c r="L2034" s="549"/>
      <c r="M2034" s="540"/>
      <c r="O2034" s="540"/>
      <c r="S2034" s="550"/>
      <c r="T2034" s="547"/>
      <c r="U2034" s="547"/>
      <c r="V2034" s="547"/>
      <c r="W2034" s="549"/>
    </row>
    <row r="2035" spans="1:23">
      <c r="A2035" s="565">
        <v>2729</v>
      </c>
      <c r="B2035" s="696" t="s">
        <v>7441</v>
      </c>
      <c r="C2035" s="566">
        <f t="shared" si="31"/>
        <v>2729</v>
      </c>
      <c r="D2035" s="700" t="s">
        <v>2245</v>
      </c>
      <c r="E2035" s="701" t="s">
        <v>9910</v>
      </c>
      <c r="F2035" s="566">
        <v>1</v>
      </c>
      <c r="G2035" s="662">
        <v>31478.703242717831</v>
      </c>
      <c r="H2035" s="662">
        <v>32509.694312829834</v>
      </c>
      <c r="I2035" s="662">
        <v>33594.951423081155</v>
      </c>
      <c r="J2035" s="662">
        <v>0</v>
      </c>
      <c r="K2035" s="566" t="s">
        <v>1417</v>
      </c>
      <c r="L2035" s="549"/>
      <c r="M2035" s="540"/>
      <c r="O2035" s="540"/>
      <c r="S2035" s="550"/>
      <c r="T2035" s="547"/>
      <c r="U2035" s="547"/>
      <c r="V2035" s="547"/>
      <c r="W2035" s="549"/>
    </row>
    <row r="2036" spans="1:23">
      <c r="A2036" s="565">
        <v>2730</v>
      </c>
      <c r="B2036" s="696" t="s">
        <v>7442</v>
      </c>
      <c r="C2036" s="566">
        <f t="shared" si="31"/>
        <v>2730</v>
      </c>
      <c r="D2036" s="700" t="s">
        <v>2245</v>
      </c>
      <c r="E2036" s="701" t="s">
        <v>9911</v>
      </c>
      <c r="F2036" s="566">
        <v>1</v>
      </c>
      <c r="G2036" s="662">
        <v>17714.137674215861</v>
      </c>
      <c r="H2036" s="662">
        <v>0</v>
      </c>
      <c r="I2036" s="662">
        <v>0</v>
      </c>
      <c r="J2036" s="662">
        <v>19411.617019534184</v>
      </c>
      <c r="K2036" s="566" t="s">
        <v>1418</v>
      </c>
      <c r="L2036" s="549"/>
      <c r="M2036" s="540"/>
      <c r="O2036" s="540"/>
      <c r="S2036" s="550"/>
      <c r="T2036" s="547"/>
      <c r="U2036" s="547"/>
      <c r="V2036" s="547"/>
      <c r="W2036" s="549"/>
    </row>
    <row r="2037" spans="1:23">
      <c r="A2037" s="565">
        <v>2731</v>
      </c>
      <c r="B2037" s="696" t="s">
        <v>7443</v>
      </c>
      <c r="C2037" s="566">
        <f t="shared" si="31"/>
        <v>2731</v>
      </c>
      <c r="D2037" s="700" t="s">
        <v>2245</v>
      </c>
      <c r="E2037" s="701" t="s">
        <v>9912</v>
      </c>
      <c r="F2037" s="566">
        <v>1</v>
      </c>
      <c r="G2037" s="662">
        <v>19017.86457836421</v>
      </c>
      <c r="H2037" s="662">
        <v>0</v>
      </c>
      <c r="I2037" s="662">
        <v>0</v>
      </c>
      <c r="J2037" s="662">
        <v>20858.799525706294</v>
      </c>
      <c r="K2037" s="566" t="s">
        <v>1419</v>
      </c>
      <c r="L2037" s="549"/>
      <c r="M2037" s="540"/>
      <c r="O2037" s="540"/>
      <c r="S2037" s="550"/>
      <c r="T2037" s="547"/>
      <c r="U2037" s="547"/>
      <c r="V2037" s="547"/>
      <c r="W2037" s="549"/>
    </row>
    <row r="2038" spans="1:23">
      <c r="A2038" s="565">
        <v>2732</v>
      </c>
      <c r="B2038" s="696" t="s">
        <v>7444</v>
      </c>
      <c r="C2038" s="566">
        <f t="shared" si="31"/>
        <v>2732</v>
      </c>
      <c r="D2038" s="700" t="s">
        <v>2245</v>
      </c>
      <c r="E2038" s="701" t="s">
        <v>9913</v>
      </c>
      <c r="F2038" s="566">
        <v>1</v>
      </c>
      <c r="G2038" s="662">
        <v>19949.069203463394</v>
      </c>
      <c r="H2038" s="662">
        <v>20563.927056195589</v>
      </c>
      <c r="I2038" s="662">
        <v>0</v>
      </c>
      <c r="J2038" s="662">
        <v>21892.457999033337</v>
      </c>
      <c r="K2038" s="566" t="s">
        <v>1420</v>
      </c>
      <c r="L2038" s="549"/>
      <c r="M2038" s="540"/>
      <c r="O2038" s="540"/>
      <c r="S2038" s="550"/>
      <c r="T2038" s="547"/>
      <c r="U2038" s="547"/>
      <c r="V2038" s="547"/>
      <c r="W2038" s="549"/>
    </row>
    <row r="2039" spans="1:23">
      <c r="A2039" s="565">
        <v>2733</v>
      </c>
      <c r="B2039" s="696" t="s">
        <v>7445</v>
      </c>
      <c r="C2039" s="566">
        <f t="shared" si="31"/>
        <v>2733</v>
      </c>
      <c r="D2039" s="700" t="s">
        <v>2245</v>
      </c>
      <c r="E2039" s="701" t="s">
        <v>9914</v>
      </c>
      <c r="F2039" s="566">
        <v>1</v>
      </c>
      <c r="G2039" s="662">
        <v>23836.652292208135</v>
      </c>
      <c r="H2039" s="662">
        <v>0</v>
      </c>
      <c r="I2039" s="662">
        <v>0</v>
      </c>
      <c r="J2039" s="662">
        <v>26124.125649419388</v>
      </c>
      <c r="K2039" s="566" t="s">
        <v>1421</v>
      </c>
      <c r="L2039" s="549"/>
      <c r="M2039" s="540"/>
      <c r="O2039" s="540"/>
      <c r="S2039" s="550"/>
      <c r="T2039" s="547"/>
      <c r="U2039" s="547"/>
      <c r="V2039" s="547"/>
      <c r="W2039" s="549"/>
    </row>
    <row r="2040" spans="1:23">
      <c r="A2040" s="565">
        <v>2734</v>
      </c>
      <c r="B2040" s="696" t="s">
        <v>7446</v>
      </c>
      <c r="C2040" s="566">
        <f t="shared" si="31"/>
        <v>2734</v>
      </c>
      <c r="D2040" s="700" t="s">
        <v>2245</v>
      </c>
      <c r="E2040" s="701" t="s">
        <v>9915</v>
      </c>
      <c r="F2040" s="566">
        <v>1</v>
      </c>
      <c r="G2040" s="662">
        <v>0</v>
      </c>
      <c r="H2040" s="662">
        <v>0</v>
      </c>
      <c r="I2040" s="662">
        <v>12907.02673207577</v>
      </c>
      <c r="J2040" s="662">
        <v>13274.79030975111</v>
      </c>
      <c r="K2040" s="566" t="s">
        <v>4204</v>
      </c>
      <c r="L2040" s="549"/>
      <c r="M2040" s="540"/>
      <c r="O2040" s="540"/>
      <c r="S2040" s="550"/>
      <c r="T2040" s="547"/>
      <c r="U2040" s="547"/>
      <c r="V2040" s="547"/>
      <c r="W2040" s="549"/>
    </row>
    <row r="2041" spans="1:23">
      <c r="A2041" s="565">
        <v>2735</v>
      </c>
      <c r="B2041" s="696" t="s">
        <v>7447</v>
      </c>
      <c r="C2041" s="566">
        <f t="shared" si="31"/>
        <v>2735</v>
      </c>
      <c r="D2041" s="700" t="s">
        <v>2245</v>
      </c>
      <c r="E2041" s="701" t="s">
        <v>9916</v>
      </c>
      <c r="F2041" s="566">
        <v>1</v>
      </c>
      <c r="G2041" s="662">
        <v>12471.293961421266</v>
      </c>
      <c r="H2041" s="662">
        <v>0</v>
      </c>
      <c r="I2041" s="662">
        <v>0</v>
      </c>
      <c r="J2041" s="662">
        <v>0</v>
      </c>
      <c r="K2041" s="566" t="s">
        <v>5365</v>
      </c>
      <c r="L2041" s="549"/>
      <c r="M2041" s="540"/>
      <c r="O2041" s="540"/>
      <c r="S2041" s="550"/>
      <c r="T2041" s="547"/>
      <c r="U2041" s="547"/>
      <c r="V2041" s="547"/>
      <c r="W2041" s="549"/>
    </row>
    <row r="2042" spans="1:23">
      <c r="A2042" s="565">
        <v>2736</v>
      </c>
      <c r="B2042" s="696" t="s">
        <v>7448</v>
      </c>
      <c r="C2042" s="566">
        <f t="shared" si="31"/>
        <v>2736</v>
      </c>
      <c r="D2042" s="700" t="s">
        <v>2245</v>
      </c>
      <c r="E2042" s="701" t="s">
        <v>9917</v>
      </c>
      <c r="F2042" s="566">
        <v>1</v>
      </c>
      <c r="G2042" s="662">
        <v>21388.63160776101</v>
      </c>
      <c r="H2042" s="662">
        <v>21388.63160776101</v>
      </c>
      <c r="I2042" s="662">
        <v>21388.63160776101</v>
      </c>
      <c r="J2042" s="662">
        <v>21388.63160776101</v>
      </c>
      <c r="K2042" s="566" t="s">
        <v>4944</v>
      </c>
      <c r="L2042" s="549"/>
      <c r="M2042" s="540"/>
      <c r="O2042" s="540"/>
      <c r="S2042" s="550"/>
      <c r="T2042" s="547"/>
      <c r="U2042" s="547"/>
      <c r="V2042" s="547"/>
      <c r="W2042" s="549"/>
    </row>
    <row r="2043" spans="1:23">
      <c r="A2043" s="565">
        <v>2737</v>
      </c>
      <c r="B2043" s="696" t="s">
        <v>7449</v>
      </c>
      <c r="C2043" s="566">
        <f t="shared" si="31"/>
        <v>2737</v>
      </c>
      <c r="D2043" s="700" t="s">
        <v>2245</v>
      </c>
      <c r="E2043" s="701" t="s">
        <v>9918</v>
      </c>
      <c r="F2043" s="566">
        <v>1</v>
      </c>
      <c r="G2043" s="662">
        <v>24512.880176123002</v>
      </c>
      <c r="H2043" s="662">
        <v>25322.019220553026</v>
      </c>
      <c r="I2043" s="662">
        <v>26173.733630089635</v>
      </c>
      <c r="J2043" s="662">
        <v>27070.271999415309</v>
      </c>
      <c r="K2043" s="566" t="s">
        <v>1422</v>
      </c>
      <c r="L2043" s="549"/>
      <c r="M2043" s="540"/>
      <c r="O2043" s="540"/>
      <c r="S2043" s="550"/>
      <c r="T2043" s="547"/>
      <c r="U2043" s="547"/>
      <c r="V2043" s="547"/>
      <c r="W2043" s="549"/>
    </row>
    <row r="2044" spans="1:23">
      <c r="A2044" s="565">
        <v>2738</v>
      </c>
      <c r="B2044" s="696" t="s">
        <v>7450</v>
      </c>
      <c r="C2044" s="566">
        <f t="shared" si="31"/>
        <v>2738</v>
      </c>
      <c r="D2044" s="700" t="s">
        <v>2245</v>
      </c>
      <c r="E2044" s="701" t="s">
        <v>9919</v>
      </c>
      <c r="F2044" s="566">
        <v>1</v>
      </c>
      <c r="G2044" s="662">
        <v>21708.547977343231</v>
      </c>
      <c r="H2044" s="662">
        <v>22415.583071125024</v>
      </c>
      <c r="I2044" s="662">
        <v>23159.838324256412</v>
      </c>
      <c r="J2044" s="662">
        <v>0</v>
      </c>
      <c r="K2044" s="566" t="s">
        <v>1423</v>
      </c>
      <c r="L2044" s="549"/>
      <c r="M2044" s="540"/>
      <c r="O2044" s="540"/>
      <c r="S2044" s="550"/>
      <c r="T2044" s="547"/>
      <c r="U2044" s="547"/>
      <c r="V2044" s="547"/>
      <c r="W2044" s="549"/>
    </row>
    <row r="2045" spans="1:23">
      <c r="A2045" s="565">
        <v>2739</v>
      </c>
      <c r="B2045" s="696" t="s">
        <v>7451</v>
      </c>
      <c r="C2045" s="566">
        <f t="shared" si="31"/>
        <v>2739</v>
      </c>
      <c r="D2045" s="700" t="s">
        <v>2245</v>
      </c>
      <c r="E2045" s="701" t="s">
        <v>9920</v>
      </c>
      <c r="F2045" s="566">
        <v>1</v>
      </c>
      <c r="G2045" s="662">
        <v>18198.580335543043</v>
      </c>
      <c r="H2045" s="662">
        <v>18759.160907241723</v>
      </c>
      <c r="I2045" s="662">
        <v>19349.239490762004</v>
      </c>
      <c r="J2045" s="662">
        <v>19970.384185027171</v>
      </c>
      <c r="K2045" s="566" t="s">
        <v>1424</v>
      </c>
      <c r="L2045" s="549"/>
      <c r="M2045" s="540"/>
      <c r="O2045" s="540"/>
      <c r="S2045" s="550"/>
      <c r="T2045" s="547"/>
      <c r="U2045" s="547"/>
      <c r="V2045" s="547"/>
      <c r="W2045" s="549"/>
    </row>
    <row r="2046" spans="1:23">
      <c r="A2046" s="565">
        <v>2740</v>
      </c>
      <c r="B2046" s="696" t="s">
        <v>7452</v>
      </c>
      <c r="C2046" s="566">
        <f t="shared" si="31"/>
        <v>2740</v>
      </c>
      <c r="D2046" s="700" t="s">
        <v>2245</v>
      </c>
      <c r="E2046" s="701" t="s">
        <v>9921</v>
      </c>
      <c r="F2046" s="566">
        <v>1</v>
      </c>
      <c r="G2046" s="662">
        <v>18739.926966752577</v>
      </c>
      <c r="H2046" s="662">
        <v>19288.820763456759</v>
      </c>
      <c r="I2046" s="662">
        <v>19866.591249767622</v>
      </c>
      <c r="J2046" s="662">
        <v>20474.776937836352</v>
      </c>
      <c r="K2046" s="566" t="s">
        <v>1425</v>
      </c>
      <c r="L2046" s="549"/>
      <c r="M2046" s="540"/>
      <c r="O2046" s="540"/>
      <c r="S2046" s="550"/>
      <c r="T2046" s="547"/>
      <c r="U2046" s="547"/>
      <c r="V2046" s="547"/>
      <c r="W2046" s="549"/>
    </row>
    <row r="2047" spans="1:23">
      <c r="A2047" s="565">
        <v>2741</v>
      </c>
      <c r="B2047" s="696" t="s">
        <v>7453</v>
      </c>
      <c r="C2047" s="566">
        <f t="shared" si="31"/>
        <v>2741</v>
      </c>
      <c r="D2047" s="700" t="s">
        <v>2245</v>
      </c>
      <c r="E2047" s="701" t="s">
        <v>9922</v>
      </c>
      <c r="F2047" s="566">
        <v>1</v>
      </c>
      <c r="G2047" s="662">
        <v>17779.584286309546</v>
      </c>
      <c r="H2047" s="662">
        <v>18279.793217008206</v>
      </c>
      <c r="I2047" s="662">
        <v>18806.318400712222</v>
      </c>
      <c r="J2047" s="662">
        <v>19360.560702600575</v>
      </c>
      <c r="K2047" s="566" t="s">
        <v>3217</v>
      </c>
      <c r="L2047" s="549"/>
      <c r="M2047" s="540"/>
      <c r="O2047" s="540"/>
      <c r="S2047" s="550"/>
      <c r="T2047" s="547"/>
      <c r="U2047" s="547"/>
      <c r="V2047" s="547"/>
      <c r="W2047" s="549"/>
    </row>
    <row r="2048" spans="1:23">
      <c r="A2048" s="565">
        <v>2742</v>
      </c>
      <c r="B2048" s="696" t="s">
        <v>7454</v>
      </c>
      <c r="C2048" s="566">
        <f t="shared" si="31"/>
        <v>2742</v>
      </c>
      <c r="D2048" s="700" t="s">
        <v>2245</v>
      </c>
      <c r="E2048" s="701" t="s">
        <v>9923</v>
      </c>
      <c r="F2048" s="566">
        <v>1</v>
      </c>
      <c r="G2048" s="662">
        <v>24583.138579707607</v>
      </c>
      <c r="H2048" s="662">
        <v>25317.191933499435</v>
      </c>
      <c r="I2048" s="662">
        <v>26089.869141512045</v>
      </c>
      <c r="J2048" s="662">
        <v>26903.238147581098</v>
      </c>
      <c r="K2048" s="566" t="s">
        <v>4945</v>
      </c>
      <c r="L2048" s="549"/>
      <c r="M2048" s="540"/>
      <c r="O2048" s="540"/>
      <c r="S2048" s="550"/>
      <c r="T2048" s="547"/>
      <c r="U2048" s="547"/>
      <c r="V2048" s="547"/>
      <c r="W2048" s="549"/>
    </row>
    <row r="2049" spans="1:23">
      <c r="A2049" s="565">
        <v>2743</v>
      </c>
      <c r="B2049" s="696" t="s">
        <v>7455</v>
      </c>
      <c r="C2049" s="566">
        <f t="shared" si="31"/>
        <v>2743</v>
      </c>
      <c r="D2049" s="700" t="s">
        <v>2245</v>
      </c>
      <c r="E2049" s="701" t="s">
        <v>9924</v>
      </c>
      <c r="F2049" s="566">
        <v>1</v>
      </c>
      <c r="G2049" s="662">
        <v>26727.176013102584</v>
      </c>
      <c r="H2049" s="662">
        <v>27531.806288769338</v>
      </c>
      <c r="I2049" s="662">
        <v>28378.796059134198</v>
      </c>
      <c r="J2049" s="662">
        <v>29270.380037696967</v>
      </c>
      <c r="K2049" s="566" t="s">
        <v>4946</v>
      </c>
      <c r="L2049" s="549"/>
      <c r="M2049" s="540"/>
      <c r="O2049" s="540"/>
      <c r="S2049" s="550"/>
      <c r="T2049" s="547"/>
      <c r="U2049" s="547"/>
      <c r="V2049" s="547"/>
      <c r="W2049" s="549"/>
    </row>
    <row r="2050" spans="1:23">
      <c r="A2050" s="565">
        <v>2744</v>
      </c>
      <c r="B2050" s="696" t="s">
        <v>7456</v>
      </c>
      <c r="C2050" s="566">
        <f t="shared" si="31"/>
        <v>2744</v>
      </c>
      <c r="D2050" s="700" t="s">
        <v>2245</v>
      </c>
      <c r="E2050" s="701" t="s">
        <v>9925</v>
      </c>
      <c r="F2050" s="566">
        <v>1</v>
      </c>
      <c r="G2050" s="662">
        <v>0</v>
      </c>
      <c r="H2050" s="662">
        <v>0</v>
      </c>
      <c r="I2050" s="662">
        <v>19087.770849652177</v>
      </c>
      <c r="J2050" s="662">
        <v>19630.22708454758</v>
      </c>
      <c r="K2050" s="566" t="s">
        <v>4205</v>
      </c>
      <c r="L2050" s="549"/>
      <c r="M2050" s="540"/>
      <c r="O2050" s="540"/>
      <c r="S2050" s="550"/>
      <c r="T2050" s="547"/>
      <c r="U2050" s="547"/>
      <c r="V2050" s="547"/>
      <c r="W2050" s="549"/>
    </row>
    <row r="2051" spans="1:23">
      <c r="A2051" s="565">
        <v>2745</v>
      </c>
      <c r="B2051" s="696" t="s">
        <v>7457</v>
      </c>
      <c r="C2051" s="566">
        <f t="shared" si="31"/>
        <v>2745</v>
      </c>
      <c r="D2051" s="700" t="s">
        <v>2245</v>
      </c>
      <c r="E2051" s="701" t="s">
        <v>9926</v>
      </c>
      <c r="F2051" s="566">
        <v>1</v>
      </c>
      <c r="G2051" s="662">
        <v>0</v>
      </c>
      <c r="H2051" s="662">
        <v>0</v>
      </c>
      <c r="I2051" s="662">
        <v>20699.154585954209</v>
      </c>
      <c r="J2051" s="662">
        <v>21293.629479732819</v>
      </c>
      <c r="K2051" s="566" t="s">
        <v>4206</v>
      </c>
      <c r="L2051" s="549"/>
      <c r="M2051" s="540"/>
      <c r="O2051" s="540"/>
      <c r="S2051" s="550"/>
      <c r="T2051" s="547"/>
      <c r="U2051" s="547"/>
      <c r="V2051" s="547"/>
      <c r="W2051" s="549"/>
    </row>
    <row r="2052" spans="1:23">
      <c r="A2052" s="565">
        <v>2746</v>
      </c>
      <c r="B2052" s="696" t="s">
        <v>7458</v>
      </c>
      <c r="C2052" s="566">
        <f t="shared" si="31"/>
        <v>2746</v>
      </c>
      <c r="D2052" s="700" t="s">
        <v>2246</v>
      </c>
      <c r="E2052" s="701" t="s">
        <v>9927</v>
      </c>
      <c r="F2052" s="566">
        <v>1</v>
      </c>
      <c r="G2052" s="662">
        <v>18349.256185851104</v>
      </c>
      <c r="H2052" s="662">
        <v>18941.480292080847</v>
      </c>
      <c r="I2052" s="662">
        <v>19564.830702874973</v>
      </c>
      <c r="J2052" s="662">
        <v>20221.022002806945</v>
      </c>
      <c r="K2052" s="566" t="s">
        <v>1426</v>
      </c>
      <c r="L2052" s="549"/>
      <c r="M2052" s="540"/>
      <c r="O2052" s="540"/>
      <c r="S2052" s="550"/>
      <c r="T2052" s="547"/>
      <c r="U2052" s="547"/>
      <c r="V2052" s="547"/>
      <c r="W2052" s="549"/>
    </row>
    <row r="2053" spans="1:23">
      <c r="A2053" s="565">
        <v>2747</v>
      </c>
      <c r="B2053" s="696" t="s">
        <v>7459</v>
      </c>
      <c r="C2053" s="566">
        <f t="shared" si="31"/>
        <v>2747</v>
      </c>
      <c r="D2053" s="700" t="s">
        <v>2246</v>
      </c>
      <c r="E2053" s="701" t="s">
        <v>9928</v>
      </c>
      <c r="F2053" s="566">
        <v>1</v>
      </c>
      <c r="G2053" s="662">
        <v>14024.767892429654</v>
      </c>
      <c r="H2053" s="662">
        <v>14457.535633327452</v>
      </c>
      <c r="I2053" s="662">
        <v>14913.054592603874</v>
      </c>
      <c r="J2053" s="662">
        <v>15392.57773590877</v>
      </c>
      <c r="K2053" s="566" t="s">
        <v>1427</v>
      </c>
      <c r="L2053" s="549"/>
      <c r="M2053" s="540"/>
      <c r="O2053" s="540"/>
      <c r="S2053" s="550"/>
      <c r="T2053" s="547"/>
      <c r="U2053" s="547"/>
      <c r="V2053" s="547"/>
      <c r="W2053" s="549"/>
    </row>
    <row r="2054" spans="1:23">
      <c r="A2054" s="565">
        <v>2748</v>
      </c>
      <c r="B2054" s="696" t="s">
        <v>7460</v>
      </c>
      <c r="C2054" s="566">
        <f t="shared" si="31"/>
        <v>2748</v>
      </c>
      <c r="D2054" s="700" t="s">
        <v>2246</v>
      </c>
      <c r="E2054" s="701" t="s">
        <v>9929</v>
      </c>
      <c r="F2054" s="566">
        <v>1</v>
      </c>
      <c r="G2054" s="662">
        <v>15235.624614587656</v>
      </c>
      <c r="H2054" s="662">
        <v>15713.037499955981</v>
      </c>
      <c r="I2054" s="662">
        <v>16215.575643881575</v>
      </c>
      <c r="J2054" s="662">
        <v>16744.557957574787</v>
      </c>
      <c r="K2054" s="566" t="s">
        <v>1428</v>
      </c>
      <c r="L2054" s="549"/>
      <c r="M2054" s="540"/>
      <c r="O2054" s="540"/>
      <c r="S2054" s="550"/>
      <c r="T2054" s="547"/>
      <c r="U2054" s="547"/>
      <c r="V2054" s="547"/>
      <c r="W2054" s="549"/>
    </row>
    <row r="2055" spans="1:23">
      <c r="A2055" s="565">
        <v>2749</v>
      </c>
      <c r="B2055" s="696" t="s">
        <v>7461</v>
      </c>
      <c r="C2055" s="566">
        <f t="shared" si="31"/>
        <v>2749</v>
      </c>
      <c r="D2055" s="700" t="s">
        <v>2246</v>
      </c>
      <c r="E2055" s="701" t="s">
        <v>9930</v>
      </c>
      <c r="F2055" s="566">
        <v>1</v>
      </c>
      <c r="G2055" s="662">
        <v>0</v>
      </c>
      <c r="H2055" s="662">
        <v>13728.867272009662</v>
      </c>
      <c r="I2055" s="662">
        <v>0</v>
      </c>
      <c r="J2055" s="662">
        <v>0</v>
      </c>
      <c r="K2055" s="566" t="s">
        <v>3218</v>
      </c>
      <c r="L2055" s="549"/>
      <c r="M2055" s="540"/>
      <c r="O2055" s="540"/>
      <c r="S2055" s="550"/>
      <c r="T2055" s="547"/>
      <c r="U2055" s="547"/>
      <c r="V2055" s="547"/>
      <c r="W2055" s="549"/>
    </row>
    <row r="2056" spans="1:23">
      <c r="A2056" s="565">
        <v>2750</v>
      </c>
      <c r="B2056" s="696" t="s">
        <v>7462</v>
      </c>
      <c r="C2056" s="566">
        <f t="shared" si="31"/>
        <v>2750</v>
      </c>
      <c r="D2056" s="700" t="s">
        <v>2246</v>
      </c>
      <c r="E2056" s="701" t="s">
        <v>9931</v>
      </c>
      <c r="F2056" s="566">
        <v>1</v>
      </c>
      <c r="G2056" s="662">
        <v>15013.648191421962</v>
      </c>
      <c r="H2056" s="662">
        <v>15310.86580096987</v>
      </c>
      <c r="I2056" s="662">
        <v>15623.718158557545</v>
      </c>
      <c r="J2056" s="662">
        <v>15953.044713744159</v>
      </c>
      <c r="K2056" s="566" t="s">
        <v>1429</v>
      </c>
      <c r="L2056" s="549"/>
      <c r="M2056" s="540"/>
      <c r="O2056" s="540"/>
      <c r="S2056" s="550"/>
      <c r="T2056" s="547"/>
      <c r="U2056" s="547"/>
      <c r="V2056" s="547"/>
      <c r="W2056" s="549"/>
    </row>
    <row r="2057" spans="1:23">
      <c r="A2057" s="565">
        <v>2751</v>
      </c>
      <c r="B2057" s="696" t="s">
        <v>7463</v>
      </c>
      <c r="C2057" s="566">
        <f t="shared" ref="C2057:C2120" si="32">A2057</f>
        <v>2751</v>
      </c>
      <c r="D2057" s="700" t="s">
        <v>2246</v>
      </c>
      <c r="E2057" s="701" t="s">
        <v>9932</v>
      </c>
      <c r="F2057" s="566">
        <v>1</v>
      </c>
      <c r="G2057" s="662">
        <v>0</v>
      </c>
      <c r="H2057" s="662">
        <v>0</v>
      </c>
      <c r="I2057" s="662">
        <v>15508.061193014733</v>
      </c>
      <c r="J2057" s="662">
        <v>15798.851766875148</v>
      </c>
      <c r="K2057" s="566" t="s">
        <v>4947</v>
      </c>
      <c r="L2057" s="549"/>
      <c r="M2057" s="540"/>
      <c r="O2057" s="540"/>
      <c r="S2057" s="550"/>
      <c r="T2057" s="547"/>
      <c r="U2057" s="547"/>
      <c r="V2057" s="547"/>
      <c r="W2057" s="549"/>
    </row>
    <row r="2058" spans="1:23">
      <c r="A2058" s="565">
        <v>2752</v>
      </c>
      <c r="B2058" s="695" t="s">
        <v>7464</v>
      </c>
      <c r="C2058" s="566">
        <f t="shared" si="32"/>
        <v>2752</v>
      </c>
      <c r="D2058" s="699" t="s">
        <v>2246</v>
      </c>
      <c r="E2058" s="701" t="s">
        <v>9933</v>
      </c>
      <c r="F2058" s="567">
        <v>1</v>
      </c>
      <c r="G2058" s="662">
        <v>0</v>
      </c>
      <c r="H2058" s="662">
        <v>0</v>
      </c>
      <c r="I2058" s="662">
        <v>0</v>
      </c>
      <c r="J2058" s="662">
        <v>14100.929121650372</v>
      </c>
      <c r="K2058" s="568" t="s">
        <v>4948</v>
      </c>
      <c r="L2058" s="549"/>
      <c r="M2058" s="540"/>
      <c r="O2058" s="540"/>
      <c r="S2058" s="550"/>
      <c r="T2058" s="547"/>
      <c r="U2058" s="547"/>
      <c r="V2058" s="547"/>
      <c r="W2058" s="549"/>
    </row>
    <row r="2059" spans="1:23">
      <c r="A2059" s="565">
        <v>2753</v>
      </c>
      <c r="B2059" s="696" t="s">
        <v>7465</v>
      </c>
      <c r="C2059" s="566">
        <f t="shared" si="32"/>
        <v>2753</v>
      </c>
      <c r="D2059" s="700" t="s">
        <v>2246</v>
      </c>
      <c r="E2059" s="701" t="s">
        <v>9934</v>
      </c>
      <c r="F2059" s="566">
        <v>1</v>
      </c>
      <c r="G2059" s="662">
        <v>0</v>
      </c>
      <c r="H2059" s="662">
        <v>0</v>
      </c>
      <c r="I2059" s="662">
        <v>0</v>
      </c>
      <c r="J2059" s="662">
        <v>13225.489475436932</v>
      </c>
      <c r="K2059" s="566" t="s">
        <v>4949</v>
      </c>
      <c r="L2059" s="549"/>
      <c r="M2059" s="540"/>
      <c r="O2059" s="540"/>
      <c r="S2059" s="550"/>
      <c r="T2059" s="547"/>
      <c r="U2059" s="547"/>
      <c r="V2059" s="547"/>
      <c r="W2059" s="549"/>
    </row>
    <row r="2060" spans="1:23">
      <c r="A2060" s="565">
        <v>2754</v>
      </c>
      <c r="B2060" s="696" t="s">
        <v>7466</v>
      </c>
      <c r="C2060" s="566">
        <f t="shared" si="32"/>
        <v>2754</v>
      </c>
      <c r="D2060" s="700" t="s">
        <v>2246</v>
      </c>
      <c r="E2060" s="701" t="s">
        <v>9935</v>
      </c>
      <c r="F2060" s="566">
        <v>1</v>
      </c>
      <c r="G2060" s="662">
        <v>0</v>
      </c>
      <c r="H2060" s="662">
        <v>0</v>
      </c>
      <c r="I2060" s="662">
        <v>0</v>
      </c>
      <c r="J2060" s="662">
        <v>16289.528237183978</v>
      </c>
      <c r="K2060" s="566" t="s">
        <v>4950</v>
      </c>
      <c r="L2060" s="549"/>
      <c r="M2060" s="540"/>
      <c r="O2060" s="540"/>
      <c r="S2060" s="550"/>
      <c r="T2060" s="547"/>
      <c r="U2060" s="547"/>
      <c r="V2060" s="547"/>
      <c r="W2060" s="549"/>
    </row>
    <row r="2061" spans="1:23">
      <c r="A2061" s="565">
        <v>2755</v>
      </c>
      <c r="B2061" s="695" t="s">
        <v>7467</v>
      </c>
      <c r="C2061" s="566">
        <f t="shared" si="32"/>
        <v>2755</v>
      </c>
      <c r="D2061" s="699" t="s">
        <v>2246</v>
      </c>
      <c r="E2061" s="701" t="s">
        <v>9936</v>
      </c>
      <c r="F2061" s="567">
        <v>1</v>
      </c>
      <c r="G2061" s="662">
        <v>0</v>
      </c>
      <c r="H2061" s="662">
        <v>0</v>
      </c>
      <c r="I2061" s="662">
        <v>0</v>
      </c>
      <c r="J2061" s="662">
        <v>17164.967883397418</v>
      </c>
      <c r="K2061" s="568" t="s">
        <v>4951</v>
      </c>
      <c r="L2061" s="549"/>
      <c r="M2061" s="540"/>
      <c r="O2061" s="540"/>
      <c r="S2061" s="550"/>
      <c r="T2061" s="547"/>
      <c r="U2061" s="547"/>
      <c r="V2061" s="547"/>
      <c r="W2061" s="549"/>
    </row>
    <row r="2062" spans="1:23">
      <c r="A2062" s="565">
        <v>2756</v>
      </c>
      <c r="B2062" s="696" t="s">
        <v>7468</v>
      </c>
      <c r="C2062" s="566">
        <f t="shared" si="32"/>
        <v>2756</v>
      </c>
      <c r="D2062" s="700" t="s">
        <v>2246</v>
      </c>
      <c r="E2062" s="701" t="s">
        <v>9937</v>
      </c>
      <c r="F2062" s="566">
        <v>1</v>
      </c>
      <c r="G2062" s="662">
        <v>10199.09651758373</v>
      </c>
      <c r="H2062" s="662">
        <v>10470.921879820606</v>
      </c>
      <c r="I2062" s="662">
        <v>10757.030555674211</v>
      </c>
      <c r="J2062" s="662">
        <v>11058.212551428651</v>
      </c>
      <c r="K2062" s="566" t="s">
        <v>1430</v>
      </c>
      <c r="L2062" s="549"/>
      <c r="M2062" s="540"/>
      <c r="O2062" s="540"/>
      <c r="S2062" s="550"/>
      <c r="T2062" s="547"/>
      <c r="U2062" s="547"/>
      <c r="V2062" s="547"/>
      <c r="W2062" s="549"/>
    </row>
    <row r="2063" spans="1:23">
      <c r="A2063" s="565">
        <v>2757</v>
      </c>
      <c r="B2063" s="695" t="s">
        <v>7469</v>
      </c>
      <c r="C2063" s="566">
        <f t="shared" si="32"/>
        <v>2757</v>
      </c>
      <c r="D2063" s="699" t="s">
        <v>2246</v>
      </c>
      <c r="E2063" s="701" t="s">
        <v>9938</v>
      </c>
      <c r="F2063" s="567">
        <v>1</v>
      </c>
      <c r="G2063" s="662">
        <v>11427.531609790503</v>
      </c>
      <c r="H2063" s="662">
        <v>0</v>
      </c>
      <c r="I2063" s="662">
        <v>0</v>
      </c>
      <c r="J2063" s="662">
        <v>0</v>
      </c>
      <c r="K2063" s="568" t="s">
        <v>5366</v>
      </c>
      <c r="L2063" s="549"/>
      <c r="M2063" s="540"/>
      <c r="O2063" s="540"/>
      <c r="S2063" s="550"/>
      <c r="T2063" s="547"/>
      <c r="U2063" s="547"/>
      <c r="V2063" s="547"/>
      <c r="W2063" s="549"/>
    </row>
    <row r="2064" spans="1:23">
      <c r="A2064" s="565">
        <v>2758</v>
      </c>
      <c r="B2064" s="695" t="s">
        <v>7470</v>
      </c>
      <c r="C2064" s="566">
        <f t="shared" si="32"/>
        <v>2758</v>
      </c>
      <c r="D2064" s="699" t="s">
        <v>2246</v>
      </c>
      <c r="E2064" s="701" t="s">
        <v>9939</v>
      </c>
      <c r="F2064" s="567">
        <v>1</v>
      </c>
      <c r="G2064" s="662">
        <v>0</v>
      </c>
      <c r="H2064" s="662">
        <v>10274.358681943608</v>
      </c>
      <c r="I2064" s="662">
        <v>0</v>
      </c>
      <c r="J2064" s="662">
        <v>0</v>
      </c>
      <c r="K2064" s="568" t="s">
        <v>3219</v>
      </c>
      <c r="L2064" s="549"/>
      <c r="M2064" s="540"/>
      <c r="O2064" s="540"/>
      <c r="S2064" s="550"/>
      <c r="T2064" s="547"/>
      <c r="U2064" s="547"/>
      <c r="V2064" s="547"/>
      <c r="W2064" s="549"/>
    </row>
    <row r="2065" spans="1:23">
      <c r="A2065" s="565">
        <v>2759</v>
      </c>
      <c r="B2065" s="695" t="s">
        <v>7471</v>
      </c>
      <c r="C2065" s="566">
        <f t="shared" si="32"/>
        <v>2759</v>
      </c>
      <c r="D2065" s="699" t="s">
        <v>2246</v>
      </c>
      <c r="E2065" s="701" t="s">
        <v>9940</v>
      </c>
      <c r="F2065" s="567">
        <v>1</v>
      </c>
      <c r="G2065" s="662">
        <v>0</v>
      </c>
      <c r="H2065" s="662">
        <v>11921.748578867742</v>
      </c>
      <c r="I2065" s="662">
        <v>12228.144616097314</v>
      </c>
      <c r="J2065" s="662">
        <v>12550.688381774113</v>
      </c>
      <c r="K2065" s="568" t="s">
        <v>3220</v>
      </c>
      <c r="L2065" s="549"/>
      <c r="M2065" s="540"/>
      <c r="O2065" s="540"/>
      <c r="S2065" s="550"/>
      <c r="T2065" s="547"/>
      <c r="U2065" s="547"/>
      <c r="V2065" s="547"/>
      <c r="W2065" s="549"/>
    </row>
    <row r="2066" spans="1:23">
      <c r="A2066" s="565">
        <v>2760</v>
      </c>
      <c r="B2066" s="695" t="s">
        <v>7472</v>
      </c>
      <c r="C2066" s="566">
        <f t="shared" si="32"/>
        <v>2760</v>
      </c>
      <c r="D2066" s="699" t="s">
        <v>2246</v>
      </c>
      <c r="E2066" s="701" t="s">
        <v>9941</v>
      </c>
      <c r="F2066" s="567">
        <v>1</v>
      </c>
      <c r="G2066" s="662">
        <v>0</v>
      </c>
      <c r="H2066" s="662">
        <v>11484.013549113613</v>
      </c>
      <c r="I2066" s="662">
        <v>11776.473875491474</v>
      </c>
      <c r="J2066" s="662">
        <v>12084.355124535168</v>
      </c>
      <c r="K2066" s="568" t="s">
        <v>3221</v>
      </c>
      <c r="L2066" s="549"/>
      <c r="M2066" s="540"/>
      <c r="O2066" s="540"/>
      <c r="S2066" s="550"/>
      <c r="T2066" s="547"/>
      <c r="U2066" s="547"/>
      <c r="V2066" s="547"/>
      <c r="W2066" s="549"/>
    </row>
    <row r="2067" spans="1:23">
      <c r="A2067" s="565">
        <v>2761</v>
      </c>
      <c r="B2067" s="695" t="s">
        <v>7473</v>
      </c>
      <c r="C2067" s="566">
        <f t="shared" si="32"/>
        <v>2761</v>
      </c>
      <c r="D2067" s="699" t="s">
        <v>2246</v>
      </c>
      <c r="E2067" s="701" t="s">
        <v>9942</v>
      </c>
      <c r="F2067" s="567">
        <v>1</v>
      </c>
      <c r="G2067" s="662">
        <v>0</v>
      </c>
      <c r="H2067" s="662">
        <v>0</v>
      </c>
      <c r="I2067" s="662">
        <v>13479.708738530288</v>
      </c>
      <c r="J2067" s="662">
        <v>13835.653969899291</v>
      </c>
      <c r="K2067" s="568" t="s">
        <v>4207</v>
      </c>
      <c r="L2067" s="549"/>
      <c r="M2067" s="540"/>
      <c r="O2067" s="540"/>
      <c r="S2067" s="550"/>
      <c r="T2067" s="547"/>
      <c r="U2067" s="547"/>
      <c r="V2067" s="547"/>
      <c r="W2067" s="549"/>
    </row>
    <row r="2068" spans="1:23">
      <c r="A2068" s="565">
        <v>2762</v>
      </c>
      <c r="B2068" s="695" t="s">
        <v>7474</v>
      </c>
      <c r="C2068" s="566">
        <f t="shared" si="32"/>
        <v>2762</v>
      </c>
      <c r="D2068" s="699" t="s">
        <v>2246</v>
      </c>
      <c r="E2068" s="701" t="s">
        <v>9943</v>
      </c>
      <c r="F2068" s="567">
        <v>1</v>
      </c>
      <c r="G2068" s="662">
        <v>0</v>
      </c>
      <c r="H2068" s="662">
        <v>0</v>
      </c>
      <c r="I2068" s="662">
        <v>12726.616214222106</v>
      </c>
      <c r="J2068" s="662">
        <v>13058.608455056874</v>
      </c>
      <c r="K2068" s="568" t="s">
        <v>4208</v>
      </c>
      <c r="L2068" s="549"/>
      <c r="M2068" s="540"/>
      <c r="O2068" s="540"/>
      <c r="S2068" s="550"/>
      <c r="T2068" s="547"/>
      <c r="U2068" s="547"/>
      <c r="V2068" s="547"/>
      <c r="W2068" s="549"/>
    </row>
    <row r="2069" spans="1:23">
      <c r="A2069" s="565">
        <v>2763</v>
      </c>
      <c r="B2069" s="695" t="s">
        <v>7475</v>
      </c>
      <c r="C2069" s="566">
        <f t="shared" si="32"/>
        <v>2763</v>
      </c>
      <c r="D2069" s="699" t="s">
        <v>2246</v>
      </c>
      <c r="E2069" s="701" t="s">
        <v>9944</v>
      </c>
      <c r="F2069" s="567">
        <v>1</v>
      </c>
      <c r="G2069" s="662">
        <v>0</v>
      </c>
      <c r="H2069" s="662">
        <v>0</v>
      </c>
      <c r="I2069" s="662">
        <v>15034.954635580254</v>
      </c>
      <c r="J2069" s="662">
        <v>15446.295107591128</v>
      </c>
      <c r="K2069" s="568" t="s">
        <v>4209</v>
      </c>
      <c r="L2069" s="549"/>
      <c r="M2069" s="540"/>
      <c r="O2069" s="540"/>
      <c r="S2069" s="550"/>
      <c r="T2069" s="547"/>
      <c r="U2069" s="547"/>
      <c r="V2069" s="547"/>
      <c r="W2069" s="549"/>
    </row>
    <row r="2070" spans="1:23">
      <c r="A2070" s="565">
        <v>2764</v>
      </c>
      <c r="B2070" s="695" t="s">
        <v>7476</v>
      </c>
      <c r="C2070" s="566">
        <f t="shared" si="32"/>
        <v>2764</v>
      </c>
      <c r="D2070" s="699" t="s">
        <v>2246</v>
      </c>
      <c r="E2070" s="701" t="s">
        <v>9945</v>
      </c>
      <c r="F2070" s="567">
        <v>1</v>
      </c>
      <c r="G2070" s="662">
        <v>12493.194410011623</v>
      </c>
      <c r="H2070" s="662">
        <v>12828.881050015134</v>
      </c>
      <c r="I2070" s="662">
        <v>13182.262402134946</v>
      </c>
      <c r="J2070" s="662">
        <v>13554.236024232028</v>
      </c>
      <c r="K2070" s="568" t="s">
        <v>1431</v>
      </c>
      <c r="L2070" s="549"/>
      <c r="M2070" s="540"/>
      <c r="O2070" s="540"/>
      <c r="S2070" s="550"/>
      <c r="T2070" s="547"/>
      <c r="U2070" s="547"/>
      <c r="V2070" s="547"/>
      <c r="W2070" s="549"/>
    </row>
    <row r="2071" spans="1:23">
      <c r="A2071" s="565">
        <v>2765</v>
      </c>
      <c r="B2071" s="695" t="s">
        <v>7477</v>
      </c>
      <c r="C2071" s="566">
        <f t="shared" si="32"/>
        <v>2765</v>
      </c>
      <c r="D2071" s="699" t="s">
        <v>2246</v>
      </c>
      <c r="E2071" s="701" t="s">
        <v>9946</v>
      </c>
      <c r="F2071" s="567">
        <v>1</v>
      </c>
      <c r="G2071" s="662">
        <v>11954.602150697028</v>
      </c>
      <c r="H2071" s="662">
        <v>12272.59407858423</v>
      </c>
      <c r="I2071" s="662">
        <v>12607.31904945098</v>
      </c>
      <c r="J2071" s="662">
        <v>12959.642565520362</v>
      </c>
      <c r="K2071" s="568" t="s">
        <v>1432</v>
      </c>
      <c r="L2071" s="549"/>
      <c r="M2071" s="540"/>
      <c r="O2071" s="540"/>
      <c r="S2071" s="550"/>
      <c r="T2071" s="547"/>
      <c r="U2071" s="547"/>
      <c r="V2071" s="547"/>
      <c r="W2071" s="549"/>
    </row>
    <row r="2072" spans="1:23">
      <c r="A2072" s="565">
        <v>2766</v>
      </c>
      <c r="B2072" s="695" t="s">
        <v>7478</v>
      </c>
      <c r="C2072" s="566">
        <f t="shared" si="32"/>
        <v>2766</v>
      </c>
      <c r="D2072" s="699" t="s">
        <v>2246</v>
      </c>
      <c r="E2072" s="701" t="s">
        <v>9947</v>
      </c>
      <c r="F2072" s="567">
        <v>1</v>
      </c>
      <c r="G2072" s="662">
        <v>0</v>
      </c>
      <c r="H2072" s="662">
        <v>0</v>
      </c>
      <c r="I2072" s="662">
        <v>0</v>
      </c>
      <c r="J2072" s="662">
        <v>15073.719470336668</v>
      </c>
      <c r="K2072" s="568" t="s">
        <v>4952</v>
      </c>
      <c r="L2072" s="549"/>
      <c r="M2072" s="540"/>
      <c r="O2072" s="540"/>
      <c r="S2072" s="550"/>
      <c r="T2072" s="547"/>
      <c r="U2072" s="547"/>
      <c r="V2072" s="547"/>
      <c r="W2072" s="549"/>
    </row>
    <row r="2073" spans="1:23">
      <c r="A2073" s="565">
        <v>2767</v>
      </c>
      <c r="B2073" s="697" t="s">
        <v>7479</v>
      </c>
      <c r="C2073" s="566">
        <f t="shared" si="32"/>
        <v>2767</v>
      </c>
      <c r="D2073" s="699" t="s">
        <v>2246</v>
      </c>
      <c r="E2073" s="701" t="s">
        <v>9948</v>
      </c>
      <c r="F2073" s="567">
        <v>1</v>
      </c>
      <c r="G2073" s="662">
        <v>0</v>
      </c>
      <c r="H2073" s="662">
        <v>0</v>
      </c>
      <c r="I2073" s="662">
        <v>0</v>
      </c>
      <c r="J2073" s="662">
        <v>14020.571747892242</v>
      </c>
      <c r="K2073" s="568" t="s">
        <v>4953</v>
      </c>
      <c r="L2073" s="549"/>
      <c r="M2073" s="540"/>
      <c r="O2073" s="540"/>
      <c r="S2073" s="550"/>
      <c r="T2073" s="547"/>
      <c r="U2073" s="547"/>
      <c r="V2073" s="547"/>
      <c r="W2073" s="549"/>
    </row>
    <row r="2074" spans="1:23">
      <c r="A2074" s="565">
        <v>2768</v>
      </c>
      <c r="B2074" s="697" t="s">
        <v>7480</v>
      </c>
      <c r="C2074" s="566">
        <f t="shared" si="32"/>
        <v>2768</v>
      </c>
      <c r="D2074" s="699" t="s">
        <v>2246</v>
      </c>
      <c r="E2074" s="701" t="s">
        <v>9949</v>
      </c>
      <c r="F2074" s="567">
        <v>1</v>
      </c>
      <c r="G2074" s="662">
        <v>12035.486056571963</v>
      </c>
      <c r="H2074" s="662">
        <v>12362.261229241532</v>
      </c>
      <c r="I2074" s="662">
        <v>12706.218223821143</v>
      </c>
      <c r="J2074" s="662">
        <v>13068.286653809646</v>
      </c>
      <c r="K2074" s="568" t="s">
        <v>1433</v>
      </c>
      <c r="L2074"/>
      <c r="M2074" s="540"/>
      <c r="O2074" s="540"/>
    </row>
    <row r="2075" spans="1:23">
      <c r="A2075" s="565">
        <v>2769</v>
      </c>
      <c r="B2075" s="697" t="s">
        <v>7481</v>
      </c>
      <c r="C2075" s="566">
        <f t="shared" si="32"/>
        <v>2769</v>
      </c>
      <c r="D2075" s="699" t="s">
        <v>2246</v>
      </c>
      <c r="E2075" s="701" t="s">
        <v>9950</v>
      </c>
      <c r="F2075" s="567">
        <v>1</v>
      </c>
      <c r="G2075" s="662">
        <v>11505.679782169796</v>
      </c>
      <c r="H2075" s="662">
        <v>11814.696131447285</v>
      </c>
      <c r="I2075" s="662">
        <v>12139.964689135937</v>
      </c>
      <c r="J2075" s="662">
        <v>12482.350957458846</v>
      </c>
      <c r="K2075" s="568" t="s">
        <v>1434</v>
      </c>
      <c r="L2075"/>
      <c r="M2075" s="540"/>
      <c r="O2075" s="540"/>
    </row>
    <row r="2076" spans="1:23">
      <c r="A2076" s="565">
        <v>2770</v>
      </c>
      <c r="B2076" s="697" t="s">
        <v>7482</v>
      </c>
      <c r="C2076" s="566">
        <f t="shared" si="32"/>
        <v>2770</v>
      </c>
      <c r="D2076" s="699" t="s">
        <v>2247</v>
      </c>
      <c r="E2076" s="701" t="s">
        <v>9951</v>
      </c>
      <c r="F2076" s="567">
        <v>1</v>
      </c>
      <c r="G2076" s="662">
        <v>10404.212379578685</v>
      </c>
      <c r="H2076" s="662">
        <v>10674.178333184553</v>
      </c>
      <c r="I2076" s="662">
        <v>10958.343756638847</v>
      </c>
      <c r="J2076" s="662">
        <v>11257.500769127328</v>
      </c>
      <c r="K2076" s="568" t="s">
        <v>1435</v>
      </c>
      <c r="L2076"/>
      <c r="M2076" s="540"/>
      <c r="O2076" s="540"/>
    </row>
    <row r="2077" spans="1:23">
      <c r="A2077" s="565">
        <v>2771</v>
      </c>
      <c r="B2077" s="697" t="s">
        <v>7483</v>
      </c>
      <c r="C2077" s="566">
        <f t="shared" si="32"/>
        <v>2771</v>
      </c>
      <c r="D2077" s="699" t="s">
        <v>2247</v>
      </c>
      <c r="E2077" s="701" t="s">
        <v>9952</v>
      </c>
      <c r="F2077" s="567">
        <v>1</v>
      </c>
      <c r="G2077" s="662">
        <v>9940.5967544065352</v>
      </c>
      <c r="H2077" s="662">
        <v>10195.013701773421</v>
      </c>
      <c r="I2077" s="662">
        <v>10462.808662055348</v>
      </c>
      <c r="J2077" s="662">
        <v>10744.715078942849</v>
      </c>
      <c r="K2077" s="568" t="s">
        <v>1436</v>
      </c>
      <c r="L2077"/>
      <c r="M2077" s="540"/>
      <c r="O2077" s="540"/>
    </row>
    <row r="2078" spans="1:23">
      <c r="A2078" s="565">
        <v>2772</v>
      </c>
      <c r="B2078" s="696" t="s">
        <v>7484</v>
      </c>
      <c r="C2078" s="566">
        <f t="shared" si="32"/>
        <v>2772</v>
      </c>
      <c r="D2078" s="700" t="s">
        <v>2247</v>
      </c>
      <c r="E2078" s="701" t="s">
        <v>9953</v>
      </c>
      <c r="F2078" s="566">
        <v>1</v>
      </c>
      <c r="G2078" s="662">
        <v>14138.551586907462</v>
      </c>
      <c r="H2078" s="662">
        <v>14540.807880485319</v>
      </c>
      <c r="I2078" s="662">
        <v>14964.240526189098</v>
      </c>
      <c r="J2078" s="662">
        <v>15409.950820191782</v>
      </c>
      <c r="K2078" s="566" t="s">
        <v>1437</v>
      </c>
      <c r="L2078"/>
      <c r="M2078" s="540"/>
      <c r="O2078" s="540"/>
    </row>
    <row r="2079" spans="1:23">
      <c r="A2079" s="565">
        <v>2773</v>
      </c>
      <c r="B2079" s="696" t="s">
        <v>7485</v>
      </c>
      <c r="C2079" s="566">
        <f t="shared" si="32"/>
        <v>2773</v>
      </c>
      <c r="D2079" s="700" t="s">
        <v>2247</v>
      </c>
      <c r="E2079" s="701" t="s">
        <v>9954</v>
      </c>
      <c r="F2079" s="566">
        <v>1</v>
      </c>
      <c r="G2079" s="662">
        <v>0</v>
      </c>
      <c r="H2079" s="662">
        <v>20093.323575921942</v>
      </c>
      <c r="I2079" s="662">
        <v>20674.745024039239</v>
      </c>
      <c r="J2079" s="662">
        <v>21286.782505765052</v>
      </c>
      <c r="K2079" s="566" t="s">
        <v>3222</v>
      </c>
      <c r="L2079"/>
      <c r="M2079" s="540"/>
      <c r="O2079" s="540"/>
    </row>
    <row r="2080" spans="1:23">
      <c r="A2080" s="565">
        <v>2774</v>
      </c>
      <c r="B2080" s="696" t="s">
        <v>7486</v>
      </c>
      <c r="C2080" s="566">
        <f t="shared" si="32"/>
        <v>2774</v>
      </c>
      <c r="D2080" s="700" t="s">
        <v>2247</v>
      </c>
      <c r="E2080" s="701" t="s">
        <v>9955</v>
      </c>
      <c r="F2080" s="566">
        <v>1</v>
      </c>
      <c r="G2080" s="662">
        <v>17278.147902912344</v>
      </c>
      <c r="H2080" s="662">
        <v>17814.258879913232</v>
      </c>
      <c r="I2080" s="662">
        <v>18378.625970151999</v>
      </c>
      <c r="J2080" s="662">
        <v>18972.665125851021</v>
      </c>
      <c r="K2080" s="566" t="s">
        <v>4954</v>
      </c>
      <c r="L2080"/>
      <c r="M2080" s="540"/>
      <c r="O2080" s="540"/>
    </row>
    <row r="2081" spans="1:15">
      <c r="A2081" s="565">
        <v>2775</v>
      </c>
      <c r="B2081" s="696" t="s">
        <v>7487</v>
      </c>
      <c r="C2081" s="566">
        <f t="shared" si="32"/>
        <v>2775</v>
      </c>
      <c r="D2081" s="700" t="s">
        <v>2247</v>
      </c>
      <c r="E2081" s="701" t="s">
        <v>9956</v>
      </c>
      <c r="F2081" s="566">
        <v>1</v>
      </c>
      <c r="G2081" s="662">
        <v>15943.871381734873</v>
      </c>
      <c r="H2081" s="662">
        <v>16407.422673739638</v>
      </c>
      <c r="I2081" s="662">
        <v>16895.328343969475</v>
      </c>
      <c r="J2081" s="662">
        <v>17408.941413436874</v>
      </c>
      <c r="K2081" s="566" t="s">
        <v>1438</v>
      </c>
      <c r="L2081"/>
      <c r="M2081" s="540"/>
      <c r="O2081" s="540"/>
    </row>
    <row r="2082" spans="1:15">
      <c r="A2082" s="565">
        <v>2776</v>
      </c>
      <c r="B2082" s="696" t="s">
        <v>7488</v>
      </c>
      <c r="C2082" s="566">
        <f t="shared" si="32"/>
        <v>2776</v>
      </c>
      <c r="D2082" s="700" t="s">
        <v>2247</v>
      </c>
      <c r="E2082" s="701" t="s">
        <v>9957</v>
      </c>
      <c r="F2082" s="566">
        <v>1</v>
      </c>
      <c r="G2082" s="662">
        <v>17895.568457223952</v>
      </c>
      <c r="H2082" s="662">
        <v>18425.354847631515</v>
      </c>
      <c r="I2082" s="662">
        <v>18983.019764017648</v>
      </c>
      <c r="J2082" s="662">
        <v>19570.042089814615</v>
      </c>
      <c r="K2082" s="566" t="s">
        <v>1439</v>
      </c>
      <c r="L2082"/>
      <c r="M2082" s="540"/>
      <c r="O2082" s="540"/>
    </row>
    <row r="2083" spans="1:15">
      <c r="A2083" s="565">
        <v>2777</v>
      </c>
      <c r="B2083" s="696" t="s">
        <v>7489</v>
      </c>
      <c r="C2083" s="566">
        <f t="shared" si="32"/>
        <v>2777</v>
      </c>
      <c r="D2083" s="700" t="s">
        <v>2247</v>
      </c>
      <c r="E2083" s="701" t="s">
        <v>9958</v>
      </c>
      <c r="F2083" s="566">
        <v>1</v>
      </c>
      <c r="G2083" s="662">
        <v>0</v>
      </c>
      <c r="H2083" s="662">
        <v>0</v>
      </c>
      <c r="I2083" s="662">
        <v>20631.94479935972</v>
      </c>
      <c r="J2083" s="662">
        <v>21230.955520639567</v>
      </c>
      <c r="K2083" s="566" t="s">
        <v>4210</v>
      </c>
      <c r="L2083"/>
      <c r="M2083" s="540"/>
      <c r="O2083" s="540"/>
    </row>
    <row r="2084" spans="1:15">
      <c r="A2084" s="565">
        <v>2778</v>
      </c>
      <c r="B2084" s="696" t="s">
        <v>7490</v>
      </c>
      <c r="C2084" s="566">
        <f t="shared" si="32"/>
        <v>2778</v>
      </c>
      <c r="D2084" s="700" t="s">
        <v>2247</v>
      </c>
      <c r="E2084" s="701" t="s">
        <v>9959</v>
      </c>
      <c r="F2084" s="566">
        <v>1</v>
      </c>
      <c r="G2084" s="662">
        <v>0</v>
      </c>
      <c r="H2084" s="662">
        <v>0</v>
      </c>
      <c r="I2084" s="662">
        <v>0</v>
      </c>
      <c r="J2084" s="662">
        <v>12724.569394713808</v>
      </c>
      <c r="K2084" s="566" t="s">
        <v>4955</v>
      </c>
      <c r="L2084"/>
      <c r="M2084" s="540"/>
      <c r="O2084" s="540"/>
    </row>
    <row r="2085" spans="1:15">
      <c r="A2085" s="565">
        <v>2779</v>
      </c>
      <c r="B2085" s="696" t="s">
        <v>7491</v>
      </c>
      <c r="C2085" s="566">
        <f t="shared" si="32"/>
        <v>2779</v>
      </c>
      <c r="D2085" s="700" t="s">
        <v>2247</v>
      </c>
      <c r="E2085" s="701" t="s">
        <v>9960</v>
      </c>
      <c r="F2085" s="566">
        <v>1</v>
      </c>
      <c r="G2085" s="662">
        <v>0</v>
      </c>
      <c r="H2085" s="662">
        <v>0</v>
      </c>
      <c r="I2085" s="662">
        <v>0</v>
      </c>
      <c r="J2085" s="662">
        <v>11968.368166106826</v>
      </c>
      <c r="K2085" s="566" t="s">
        <v>4956</v>
      </c>
      <c r="L2085"/>
      <c r="M2085" s="540"/>
      <c r="O2085" s="540"/>
    </row>
    <row r="2086" spans="1:15">
      <c r="A2086" s="565">
        <v>2780</v>
      </c>
      <c r="B2086" s="695" t="s">
        <v>7492</v>
      </c>
      <c r="C2086" s="566">
        <f t="shared" si="32"/>
        <v>2780</v>
      </c>
      <c r="D2086" s="699" t="s">
        <v>2247</v>
      </c>
      <c r="E2086" s="701" t="s">
        <v>9961</v>
      </c>
      <c r="F2086" s="567">
        <v>1</v>
      </c>
      <c r="G2086" s="662">
        <v>0</v>
      </c>
      <c r="H2086" s="662">
        <v>0</v>
      </c>
      <c r="I2086" s="662">
        <v>0</v>
      </c>
      <c r="J2086" s="662">
        <v>13184.617716307404</v>
      </c>
      <c r="K2086" s="568" t="s">
        <v>4957</v>
      </c>
      <c r="L2086"/>
      <c r="M2086" s="540"/>
      <c r="O2086" s="540"/>
    </row>
    <row r="2087" spans="1:15">
      <c r="A2087" s="565">
        <v>2781</v>
      </c>
      <c r="B2087" s="695" t="s">
        <v>7493</v>
      </c>
      <c r="C2087" s="566">
        <f t="shared" si="32"/>
        <v>2781</v>
      </c>
      <c r="D2087" s="699" t="s">
        <v>2247</v>
      </c>
      <c r="E2087" s="701" t="s">
        <v>9962</v>
      </c>
      <c r="F2087" s="567">
        <v>1</v>
      </c>
      <c r="G2087" s="662">
        <v>12212.569554051412</v>
      </c>
      <c r="H2087" s="662">
        <v>12534.59917663401</v>
      </c>
      <c r="I2087" s="662">
        <v>12873.572707295234</v>
      </c>
      <c r="J2087" s="662">
        <v>13230.380257528908</v>
      </c>
      <c r="K2087" s="568" t="s">
        <v>1440</v>
      </c>
      <c r="L2087"/>
      <c r="M2087" s="540"/>
      <c r="O2087" s="540"/>
    </row>
    <row r="2088" spans="1:15">
      <c r="A2088" s="565">
        <v>2782</v>
      </c>
      <c r="B2088" s="695" t="s">
        <v>7494</v>
      </c>
      <c r="C2088" s="566">
        <f t="shared" si="32"/>
        <v>2782</v>
      </c>
      <c r="D2088" s="699" t="s">
        <v>2247</v>
      </c>
      <c r="E2088" s="701" t="s">
        <v>9963</v>
      </c>
      <c r="F2088" s="567">
        <v>1</v>
      </c>
      <c r="G2088" s="662">
        <v>11526.687133455556</v>
      </c>
      <c r="H2088" s="662">
        <v>11826.463968692862</v>
      </c>
      <c r="I2088" s="662">
        <v>12142.008493249121</v>
      </c>
      <c r="J2088" s="662">
        <v>12474.179028921932</v>
      </c>
      <c r="K2088" s="568" t="s">
        <v>1441</v>
      </c>
      <c r="L2088"/>
      <c r="M2088" s="540"/>
      <c r="O2088" s="540"/>
    </row>
    <row r="2089" spans="1:15">
      <c r="A2089" s="565">
        <v>2783</v>
      </c>
      <c r="B2089" s="695" t="s">
        <v>7495</v>
      </c>
      <c r="C2089" s="566">
        <f t="shared" si="32"/>
        <v>2783</v>
      </c>
      <c r="D2089" s="699" t="s">
        <v>2247</v>
      </c>
      <c r="E2089" s="701" t="s">
        <v>9964</v>
      </c>
      <c r="F2089" s="567">
        <v>1</v>
      </c>
      <c r="G2089" s="662">
        <v>0</v>
      </c>
      <c r="H2089" s="662">
        <v>0</v>
      </c>
      <c r="I2089" s="662">
        <v>0</v>
      </c>
      <c r="J2089" s="662">
        <v>17465.028850773506</v>
      </c>
      <c r="K2089" s="568" t="s">
        <v>4958</v>
      </c>
      <c r="L2089"/>
      <c r="M2089" s="540"/>
      <c r="O2089" s="540"/>
    </row>
    <row r="2090" spans="1:15">
      <c r="A2090" s="565">
        <v>2784</v>
      </c>
      <c r="B2090" s="696" t="s">
        <v>7496</v>
      </c>
      <c r="C2090" s="566">
        <f t="shared" si="32"/>
        <v>2784</v>
      </c>
      <c r="D2090" s="700" t="s">
        <v>2247</v>
      </c>
      <c r="E2090" s="701" t="s">
        <v>9965</v>
      </c>
      <c r="F2090" s="566">
        <v>1</v>
      </c>
      <c r="G2090" s="662">
        <v>0</v>
      </c>
      <c r="H2090" s="662">
        <v>0</v>
      </c>
      <c r="I2090" s="662">
        <v>0</v>
      </c>
      <c r="J2090" s="662">
        <v>16028.270694786048</v>
      </c>
      <c r="K2090" s="566" t="s">
        <v>4959</v>
      </c>
      <c r="L2090"/>
      <c r="M2090" s="540"/>
      <c r="O2090" s="540"/>
    </row>
    <row r="2091" spans="1:15">
      <c r="A2091" s="565">
        <v>2785</v>
      </c>
      <c r="B2091" s="696" t="s">
        <v>7497</v>
      </c>
      <c r="C2091" s="566">
        <f t="shared" si="32"/>
        <v>2785</v>
      </c>
      <c r="D2091" s="700" t="s">
        <v>2247</v>
      </c>
      <c r="E2091" s="701" t="s">
        <v>9966</v>
      </c>
      <c r="F2091" s="566">
        <v>1</v>
      </c>
      <c r="G2091" s="662">
        <v>0</v>
      </c>
      <c r="H2091" s="662">
        <v>0</v>
      </c>
      <c r="I2091" s="662">
        <v>0</v>
      </c>
      <c r="J2091" s="662">
        <v>15554.249528178501</v>
      </c>
      <c r="K2091" s="566" t="s">
        <v>4960</v>
      </c>
      <c r="L2091"/>
      <c r="M2091" s="540"/>
      <c r="O2091" s="540"/>
    </row>
    <row r="2092" spans="1:15">
      <c r="A2092" s="565">
        <v>2786</v>
      </c>
      <c r="B2092" s="696" t="s">
        <v>7498</v>
      </c>
      <c r="C2092" s="566">
        <f t="shared" si="32"/>
        <v>2786</v>
      </c>
      <c r="D2092" s="700" t="s">
        <v>2247</v>
      </c>
      <c r="E2092" s="701" t="s">
        <v>9967</v>
      </c>
      <c r="F2092" s="566">
        <v>1</v>
      </c>
      <c r="G2092" s="662">
        <v>12564.947828402914</v>
      </c>
      <c r="H2092" s="662">
        <v>12904.938629342785</v>
      </c>
      <c r="I2092" s="662">
        <v>13262.795239551306</v>
      </c>
      <c r="J2092" s="662">
        <v>13639.503139610913</v>
      </c>
      <c r="K2092" s="566" t="s">
        <v>1442</v>
      </c>
      <c r="L2092"/>
      <c r="M2092" s="540"/>
      <c r="O2092" s="540"/>
    </row>
    <row r="2093" spans="1:15">
      <c r="A2093" s="565">
        <v>2787</v>
      </c>
      <c r="B2093" s="696" t="s">
        <v>7499</v>
      </c>
      <c r="C2093" s="566">
        <f t="shared" si="32"/>
        <v>2787</v>
      </c>
      <c r="D2093" s="700" t="s">
        <v>2247</v>
      </c>
      <c r="E2093" s="701" t="s">
        <v>9968</v>
      </c>
      <c r="F2093" s="566">
        <v>1</v>
      </c>
      <c r="G2093" s="662">
        <v>13136.514103383983</v>
      </c>
      <c r="H2093" s="662">
        <v>13495.387983871144</v>
      </c>
      <c r="I2093" s="662">
        <v>13873.144943905596</v>
      </c>
      <c r="J2093" s="662">
        <v>14270.802253765989</v>
      </c>
      <c r="K2093" s="566" t="s">
        <v>1443</v>
      </c>
      <c r="L2093"/>
      <c r="M2093" s="540"/>
      <c r="O2093" s="540"/>
    </row>
    <row r="2094" spans="1:15">
      <c r="A2094" s="565">
        <v>2788</v>
      </c>
      <c r="B2094" s="696" t="s">
        <v>7500</v>
      </c>
      <c r="C2094" s="566">
        <f t="shared" si="32"/>
        <v>2788</v>
      </c>
      <c r="D2094" s="700" t="s">
        <v>2247</v>
      </c>
      <c r="E2094" s="701" t="s">
        <v>9969</v>
      </c>
      <c r="F2094" s="566">
        <v>1</v>
      </c>
      <c r="G2094" s="662">
        <v>14345.40206551208</v>
      </c>
      <c r="H2094" s="662">
        <v>14744.267383828357</v>
      </c>
      <c r="I2094" s="662">
        <v>15164.113901641624</v>
      </c>
      <c r="J2094" s="662">
        <v>15606.086048015348</v>
      </c>
      <c r="K2094" s="566" t="s">
        <v>1444</v>
      </c>
      <c r="L2094"/>
      <c r="M2094" s="540"/>
      <c r="O2094" s="540"/>
    </row>
    <row r="2095" spans="1:15">
      <c r="A2095" s="565">
        <v>2789</v>
      </c>
      <c r="B2095" s="696" t="s">
        <v>7501</v>
      </c>
      <c r="C2095" s="566">
        <f t="shared" si="32"/>
        <v>2789</v>
      </c>
      <c r="D2095" s="700" t="s">
        <v>2247</v>
      </c>
      <c r="E2095" s="701" t="s">
        <v>9970</v>
      </c>
      <c r="F2095" s="566">
        <v>1</v>
      </c>
      <c r="G2095" s="662">
        <v>13429.884403816741</v>
      </c>
      <c r="H2095" s="662">
        <v>13798.485931343415</v>
      </c>
      <c r="I2095" s="662">
        <v>14186.479173556703</v>
      </c>
      <c r="J2095" s="662">
        <v>14594.881400735248</v>
      </c>
      <c r="K2095" s="566" t="s">
        <v>1445</v>
      </c>
      <c r="L2095"/>
      <c r="M2095" s="540"/>
      <c r="O2095" s="540"/>
    </row>
    <row r="2096" spans="1:15">
      <c r="A2096" s="565">
        <v>2790</v>
      </c>
      <c r="B2096" s="696" t="s">
        <v>7502</v>
      </c>
      <c r="C2096" s="566">
        <f t="shared" si="32"/>
        <v>2790</v>
      </c>
      <c r="D2096" s="700" t="s">
        <v>2247</v>
      </c>
      <c r="E2096" s="701" t="s">
        <v>9971</v>
      </c>
      <c r="F2096" s="566">
        <v>1</v>
      </c>
      <c r="G2096" s="662">
        <v>22745.419668901544</v>
      </c>
      <c r="H2096" s="662">
        <v>23428.379597460229</v>
      </c>
      <c r="I2096" s="662">
        <v>24147.27377895813</v>
      </c>
      <c r="J2096" s="662">
        <v>24904.019171602486</v>
      </c>
      <c r="K2096" s="566" t="s">
        <v>1446</v>
      </c>
      <c r="L2096"/>
      <c r="M2096" s="540"/>
      <c r="O2096" s="540"/>
    </row>
    <row r="2097" spans="1:15">
      <c r="A2097" s="565">
        <v>2791</v>
      </c>
      <c r="B2097" s="696" t="s">
        <v>7503</v>
      </c>
      <c r="C2097" s="566">
        <f t="shared" si="32"/>
        <v>2791</v>
      </c>
      <c r="D2097" s="700" t="s">
        <v>2247</v>
      </c>
      <c r="E2097" s="701" t="s">
        <v>9972</v>
      </c>
      <c r="F2097" s="566">
        <v>1</v>
      </c>
      <c r="G2097" s="662">
        <v>0</v>
      </c>
      <c r="H2097" s="662">
        <v>0</v>
      </c>
      <c r="I2097" s="662">
        <v>31956.39030915378</v>
      </c>
      <c r="J2097" s="662">
        <v>32889.007903865349</v>
      </c>
      <c r="K2097" s="566" t="s">
        <v>4211</v>
      </c>
      <c r="L2097"/>
      <c r="M2097" s="540"/>
      <c r="O2097" s="540"/>
    </row>
    <row r="2098" spans="1:15">
      <c r="A2098" s="565">
        <v>2792</v>
      </c>
      <c r="B2098" s="696" t="s">
        <v>7504</v>
      </c>
      <c r="C2098" s="566">
        <f t="shared" si="32"/>
        <v>2792</v>
      </c>
      <c r="D2098" s="700" t="s">
        <v>2247</v>
      </c>
      <c r="E2098" s="701" t="s">
        <v>9973</v>
      </c>
      <c r="F2098" s="566">
        <v>1</v>
      </c>
      <c r="G2098" s="662">
        <v>17061.679618380633</v>
      </c>
      <c r="H2098" s="662">
        <v>0</v>
      </c>
      <c r="I2098" s="662">
        <v>0</v>
      </c>
      <c r="J2098" s="662">
        <v>0</v>
      </c>
      <c r="K2098" s="566" t="s">
        <v>5367</v>
      </c>
      <c r="L2098"/>
      <c r="M2098" s="540"/>
      <c r="O2098" s="540"/>
    </row>
    <row r="2099" spans="1:15">
      <c r="A2099" s="565">
        <v>2793</v>
      </c>
      <c r="B2099" s="696" t="s">
        <v>7505</v>
      </c>
      <c r="C2099" s="566">
        <f t="shared" si="32"/>
        <v>2793</v>
      </c>
      <c r="D2099" s="700" t="s">
        <v>2247</v>
      </c>
      <c r="E2099" s="701" t="s">
        <v>9974</v>
      </c>
      <c r="F2099" s="566">
        <v>1</v>
      </c>
      <c r="G2099" s="662">
        <v>18037.090853734666</v>
      </c>
      <c r="H2099" s="662">
        <v>18496.62824186189</v>
      </c>
      <c r="I2099" s="662">
        <v>18980.374729765015</v>
      </c>
      <c r="J2099" s="662">
        <v>19489.559986004097</v>
      </c>
      <c r="K2099" s="566" t="s">
        <v>1447</v>
      </c>
      <c r="L2099"/>
      <c r="M2099" s="540"/>
      <c r="O2099" s="540"/>
    </row>
    <row r="2100" spans="1:15">
      <c r="A2100" s="565">
        <v>2794</v>
      </c>
      <c r="B2100" s="696" t="s">
        <v>7506</v>
      </c>
      <c r="C2100" s="566">
        <f t="shared" si="32"/>
        <v>2794</v>
      </c>
      <c r="D2100" s="700" t="s">
        <v>2247</v>
      </c>
      <c r="E2100" s="701" t="s">
        <v>9975</v>
      </c>
      <c r="F2100" s="566">
        <v>2</v>
      </c>
      <c r="G2100" s="662">
        <v>21225.087175417568</v>
      </c>
      <c r="H2100" s="662">
        <v>21978.110388102414</v>
      </c>
      <c r="I2100" s="662">
        <v>22770.786524005449</v>
      </c>
      <c r="J2100" s="662">
        <v>23605.191080485201</v>
      </c>
      <c r="K2100" s="566" t="s">
        <v>1448</v>
      </c>
      <c r="L2100"/>
      <c r="M2100" s="540"/>
      <c r="O2100" s="540"/>
    </row>
    <row r="2101" spans="1:15">
      <c r="A2101" s="565">
        <v>2795</v>
      </c>
      <c r="B2101" s="696" t="s">
        <v>7507</v>
      </c>
      <c r="C2101" s="566">
        <f t="shared" si="32"/>
        <v>2795</v>
      </c>
      <c r="D2101" s="700" t="s">
        <v>2247</v>
      </c>
      <c r="E2101" s="701" t="s">
        <v>9976</v>
      </c>
      <c r="F2101" s="566">
        <v>2</v>
      </c>
      <c r="G2101" s="662">
        <v>23118.105554210852</v>
      </c>
      <c r="H2101" s="662">
        <v>23952.291637284445</v>
      </c>
      <c r="I2101" s="662">
        <v>24830.390874996367</v>
      </c>
      <c r="J2101" s="662">
        <v>25754.697238111305</v>
      </c>
      <c r="K2101" s="566" t="s">
        <v>1449</v>
      </c>
      <c r="L2101"/>
      <c r="M2101" s="540"/>
      <c r="O2101" s="540"/>
    </row>
    <row r="2102" spans="1:15">
      <c r="A2102" s="565">
        <v>2796</v>
      </c>
      <c r="B2102" s="696" t="s">
        <v>7508</v>
      </c>
      <c r="C2102" s="566">
        <f t="shared" si="32"/>
        <v>2796</v>
      </c>
      <c r="D2102" s="700" t="s">
        <v>2247</v>
      </c>
      <c r="E2102" s="701" t="s">
        <v>9977</v>
      </c>
      <c r="F2102" s="566">
        <v>2</v>
      </c>
      <c r="G2102" s="662">
        <v>21592.744470487887</v>
      </c>
      <c r="H2102" s="662">
        <v>22361.552386767853</v>
      </c>
      <c r="I2102" s="662">
        <v>23170.832501539116</v>
      </c>
      <c r="J2102" s="662">
        <v>24022.714930511735</v>
      </c>
      <c r="K2102" s="566" t="s">
        <v>1450</v>
      </c>
      <c r="L2102"/>
      <c r="M2102" s="540"/>
      <c r="O2102" s="540"/>
    </row>
    <row r="2103" spans="1:15">
      <c r="A2103" s="565">
        <v>2797</v>
      </c>
      <c r="B2103" s="696" t="s">
        <v>7509</v>
      </c>
      <c r="C2103" s="566">
        <f t="shared" si="32"/>
        <v>2797</v>
      </c>
      <c r="D2103" s="700" t="s">
        <v>2247</v>
      </c>
      <c r="E2103" s="701" t="s">
        <v>9978</v>
      </c>
      <c r="F2103" s="566">
        <v>2</v>
      </c>
      <c r="G2103" s="662">
        <v>23047.689148341673</v>
      </c>
      <c r="H2103" s="662">
        <v>23878.871222080554</v>
      </c>
      <c r="I2103" s="662">
        <v>24753.747977051604</v>
      </c>
      <c r="J2103" s="662">
        <v>25674.72262072259</v>
      </c>
      <c r="K2103" s="566" t="s">
        <v>1451</v>
      </c>
      <c r="L2103"/>
      <c r="M2103" s="540"/>
      <c r="O2103" s="540"/>
    </row>
    <row r="2104" spans="1:15">
      <c r="A2104" s="565">
        <v>2798</v>
      </c>
      <c r="B2104" s="696" t="s">
        <v>7510</v>
      </c>
      <c r="C2104" s="566">
        <f t="shared" si="32"/>
        <v>2798</v>
      </c>
      <c r="D2104" s="700" t="s">
        <v>2247</v>
      </c>
      <c r="E2104" s="701" t="s">
        <v>9979</v>
      </c>
      <c r="F2104" s="566">
        <v>1</v>
      </c>
      <c r="G2104" s="662">
        <v>24281.505939189363</v>
      </c>
      <c r="H2104" s="662">
        <v>25018.549284619341</v>
      </c>
      <c r="I2104" s="662">
        <v>25794.380594037983</v>
      </c>
      <c r="J2104" s="662">
        <v>26611.052712336063</v>
      </c>
      <c r="K2104" s="566" t="s">
        <v>1452</v>
      </c>
      <c r="L2104"/>
      <c r="M2104" s="540"/>
      <c r="O2104" s="540"/>
    </row>
    <row r="2105" spans="1:15">
      <c r="A2105" s="565">
        <v>2799</v>
      </c>
      <c r="B2105" s="696" t="s">
        <v>7511</v>
      </c>
      <c r="C2105" s="566">
        <f t="shared" si="32"/>
        <v>2799</v>
      </c>
      <c r="D2105" s="700" t="s">
        <v>2247</v>
      </c>
      <c r="E2105" s="701" t="s">
        <v>9980</v>
      </c>
      <c r="F2105" s="566">
        <v>1</v>
      </c>
      <c r="G2105" s="662">
        <v>0</v>
      </c>
      <c r="H2105" s="662">
        <v>0</v>
      </c>
      <c r="I2105" s="662">
        <v>0</v>
      </c>
      <c r="J2105" s="662">
        <v>27915.485348127888</v>
      </c>
      <c r="K2105" s="566" t="s">
        <v>4961</v>
      </c>
      <c r="L2105"/>
      <c r="M2105" s="540"/>
      <c r="O2105" s="540"/>
    </row>
    <row r="2106" spans="1:15">
      <c r="A2106" s="565">
        <v>2800</v>
      </c>
      <c r="B2106" s="696" t="s">
        <v>7512</v>
      </c>
      <c r="C2106" s="566">
        <f t="shared" si="32"/>
        <v>2800</v>
      </c>
      <c r="D2106" s="700" t="s">
        <v>2247</v>
      </c>
      <c r="E2106" s="701" t="s">
        <v>9981</v>
      </c>
      <c r="F2106" s="566">
        <v>1</v>
      </c>
      <c r="G2106" s="662">
        <v>30594.283950458877</v>
      </c>
      <c r="H2106" s="662">
        <v>31543.634675381141</v>
      </c>
      <c r="I2106" s="662">
        <v>32542.973974134675</v>
      </c>
      <c r="J2106" s="662">
        <v>33594.894913949909</v>
      </c>
      <c r="K2106" s="566" t="s">
        <v>1453</v>
      </c>
      <c r="L2106"/>
      <c r="M2106" s="540"/>
      <c r="O2106" s="540"/>
    </row>
    <row r="2107" spans="1:15">
      <c r="A2107" s="565">
        <v>2801</v>
      </c>
      <c r="B2107" s="697" t="s">
        <v>7513</v>
      </c>
      <c r="C2107" s="566">
        <f t="shared" si="32"/>
        <v>2801</v>
      </c>
      <c r="D2107" s="699" t="s">
        <v>2247</v>
      </c>
      <c r="E2107" s="701" t="s">
        <v>9982</v>
      </c>
      <c r="F2107" s="567">
        <v>1</v>
      </c>
      <c r="G2107" s="662">
        <v>27835.423370167668</v>
      </c>
      <c r="H2107" s="662">
        <v>28691.999911956405</v>
      </c>
      <c r="I2107" s="662">
        <v>29593.630996874042</v>
      </c>
      <c r="J2107" s="662">
        <v>30542.729618037793</v>
      </c>
      <c r="K2107" s="568" t="s">
        <v>1454</v>
      </c>
      <c r="L2107"/>
      <c r="M2107" s="540"/>
      <c r="O2107" s="540"/>
    </row>
    <row r="2108" spans="1:15">
      <c r="A2108" s="565">
        <v>2802</v>
      </c>
      <c r="B2108" s="696" t="s">
        <v>7514</v>
      </c>
      <c r="C2108" s="566">
        <f t="shared" si="32"/>
        <v>2802</v>
      </c>
      <c r="D2108" s="700" t="s">
        <v>2247</v>
      </c>
      <c r="E2108" s="701" t="s">
        <v>9983</v>
      </c>
      <c r="F2108" s="566">
        <v>1</v>
      </c>
      <c r="G2108" s="662">
        <v>0</v>
      </c>
      <c r="H2108" s="662">
        <v>0</v>
      </c>
      <c r="I2108" s="662">
        <v>0</v>
      </c>
      <c r="J2108" s="662">
        <v>31172.419428359452</v>
      </c>
      <c r="K2108" s="566" t="s">
        <v>4962</v>
      </c>
      <c r="L2108"/>
      <c r="M2108" s="540"/>
      <c r="O2108" s="540"/>
    </row>
    <row r="2109" spans="1:15">
      <c r="A2109" s="565">
        <v>2803</v>
      </c>
      <c r="B2109" s="696" t="s">
        <v>7515</v>
      </c>
      <c r="C2109" s="566">
        <f t="shared" si="32"/>
        <v>2803</v>
      </c>
      <c r="D2109" s="700" t="s">
        <v>2247</v>
      </c>
      <c r="E2109" s="701" t="s">
        <v>9984</v>
      </c>
      <c r="F2109" s="566">
        <v>2</v>
      </c>
      <c r="G2109" s="662">
        <v>16203.142590446969</v>
      </c>
      <c r="H2109" s="662">
        <v>16740.914879711851</v>
      </c>
      <c r="I2109" s="662">
        <v>17307.034093426104</v>
      </c>
      <c r="J2109" s="662">
        <v>17902.920308729772</v>
      </c>
      <c r="K2109" s="566" t="s">
        <v>1455</v>
      </c>
      <c r="L2109"/>
      <c r="M2109" s="540"/>
      <c r="O2109" s="540"/>
    </row>
    <row r="2110" spans="1:15">
      <c r="A2110" s="565">
        <v>2804</v>
      </c>
      <c r="B2110" s="696" t="s">
        <v>7516</v>
      </c>
      <c r="C2110" s="566">
        <f t="shared" si="32"/>
        <v>2804</v>
      </c>
      <c r="D2110" s="700" t="s">
        <v>2247</v>
      </c>
      <c r="E2110" s="701" t="s">
        <v>9985</v>
      </c>
      <c r="F2110" s="566">
        <v>2</v>
      </c>
      <c r="G2110" s="662">
        <v>0</v>
      </c>
      <c r="H2110" s="662">
        <v>0</v>
      </c>
      <c r="I2110" s="662">
        <v>18804.593060627845</v>
      </c>
      <c r="J2110" s="662">
        <v>19454.278352198613</v>
      </c>
      <c r="K2110" s="566" t="s">
        <v>4212</v>
      </c>
      <c r="L2110"/>
      <c r="M2110" s="540"/>
      <c r="O2110" s="540"/>
    </row>
    <row r="2111" spans="1:15">
      <c r="A2111" s="565">
        <v>2805</v>
      </c>
      <c r="B2111" s="696" t="s">
        <v>7517</v>
      </c>
      <c r="C2111" s="566">
        <f t="shared" si="32"/>
        <v>2805</v>
      </c>
      <c r="D2111" s="700" t="s">
        <v>2247</v>
      </c>
      <c r="E2111" s="701" t="s">
        <v>9986</v>
      </c>
      <c r="F2111" s="566">
        <v>2</v>
      </c>
      <c r="G2111" s="662">
        <v>17919.350777553936</v>
      </c>
      <c r="H2111" s="662">
        <v>18401.190129885723</v>
      </c>
      <c r="I2111" s="662">
        <v>18908.356874317156</v>
      </c>
      <c r="J2111" s="662">
        <v>19442.279247244831</v>
      </c>
      <c r="K2111" s="566" t="s">
        <v>1456</v>
      </c>
      <c r="L2111"/>
      <c r="M2111" s="540"/>
      <c r="O2111" s="540"/>
    </row>
    <row r="2112" spans="1:15">
      <c r="A2112" s="565">
        <v>2806</v>
      </c>
      <c r="B2112" s="696" t="s">
        <v>7518</v>
      </c>
      <c r="C2112" s="566">
        <f t="shared" si="32"/>
        <v>2806</v>
      </c>
      <c r="D2112" s="700" t="s">
        <v>2247</v>
      </c>
      <c r="E2112" s="701" t="s">
        <v>9987</v>
      </c>
      <c r="F2112" s="566">
        <v>2</v>
      </c>
      <c r="G2112" s="662">
        <v>18839.619974034307</v>
      </c>
      <c r="H2112" s="662">
        <v>19352.54727193201</v>
      </c>
      <c r="I2112" s="662">
        <v>19892.468237725396</v>
      </c>
      <c r="J2112" s="662">
        <v>20460.811107811045</v>
      </c>
      <c r="K2112" s="566" t="s">
        <v>1457</v>
      </c>
      <c r="L2112"/>
      <c r="M2112" s="540"/>
      <c r="O2112" s="540"/>
    </row>
    <row r="2113" spans="1:15">
      <c r="A2113" s="565">
        <v>2807</v>
      </c>
      <c r="B2113" s="696" t="s">
        <v>7519</v>
      </c>
      <c r="C2113" s="566">
        <f t="shared" si="32"/>
        <v>2807</v>
      </c>
      <c r="D2113" s="700" t="s">
        <v>2247</v>
      </c>
      <c r="E2113" s="701" t="s">
        <v>9988</v>
      </c>
      <c r="F2113" s="566">
        <v>2</v>
      </c>
      <c r="G2113" s="662">
        <v>19904.585778074113</v>
      </c>
      <c r="H2113" s="662">
        <v>20430.319595661302</v>
      </c>
      <c r="I2113" s="662">
        <v>20983.71359146258</v>
      </c>
      <c r="J2113" s="662">
        <v>21566.243609754427</v>
      </c>
      <c r="K2113" s="566" t="s">
        <v>1458</v>
      </c>
      <c r="L2113"/>
      <c r="M2113" s="540"/>
      <c r="O2113" s="540"/>
    </row>
    <row r="2114" spans="1:15">
      <c r="A2114" s="565">
        <v>2808</v>
      </c>
      <c r="B2114" s="695" t="s">
        <v>7520</v>
      </c>
      <c r="C2114" s="566">
        <f t="shared" si="32"/>
        <v>2808</v>
      </c>
      <c r="D2114" s="699" t="s">
        <v>2247</v>
      </c>
      <c r="E2114" s="701" t="s">
        <v>9989</v>
      </c>
      <c r="F2114" s="567">
        <v>2</v>
      </c>
      <c r="G2114" s="662">
        <v>21773.579293625946</v>
      </c>
      <c r="H2114" s="662">
        <v>22360.108373828261</v>
      </c>
      <c r="I2114" s="662">
        <v>22977.487360197065</v>
      </c>
      <c r="J2114" s="662">
        <v>23627.382528528382</v>
      </c>
      <c r="K2114" s="568" t="s">
        <v>1459</v>
      </c>
      <c r="L2114"/>
      <c r="M2114" s="540"/>
      <c r="O2114" s="540"/>
    </row>
    <row r="2115" spans="1:15">
      <c r="A2115" s="565">
        <v>2809</v>
      </c>
      <c r="B2115" s="695" t="s">
        <v>7521</v>
      </c>
      <c r="C2115" s="566">
        <f t="shared" si="32"/>
        <v>2809</v>
      </c>
      <c r="D2115" s="699" t="s">
        <v>2247</v>
      </c>
      <c r="E2115" s="701" t="s">
        <v>9990</v>
      </c>
      <c r="F2115" s="567">
        <v>1</v>
      </c>
      <c r="G2115" s="662">
        <v>34915.033326887795</v>
      </c>
      <c r="H2115" s="662">
        <v>0</v>
      </c>
      <c r="I2115" s="662">
        <v>36744.884124825505</v>
      </c>
      <c r="J2115" s="662">
        <v>37732.661849174736</v>
      </c>
      <c r="K2115" s="568" t="s">
        <v>1460</v>
      </c>
      <c r="L2115"/>
      <c r="M2115" s="540"/>
      <c r="O2115" s="540"/>
    </row>
    <row r="2116" spans="1:15">
      <c r="A2116" s="565">
        <v>2810</v>
      </c>
      <c r="B2116" s="695" t="s">
        <v>7522</v>
      </c>
      <c r="C2116" s="566">
        <f t="shared" si="32"/>
        <v>2810</v>
      </c>
      <c r="D2116" s="699" t="s">
        <v>2247</v>
      </c>
      <c r="E2116" s="701" t="s">
        <v>9991</v>
      </c>
      <c r="F2116" s="567">
        <v>1</v>
      </c>
      <c r="G2116" s="662">
        <v>0</v>
      </c>
      <c r="H2116" s="662">
        <v>0</v>
      </c>
      <c r="I2116" s="662">
        <v>17223.331984142122</v>
      </c>
      <c r="J2116" s="662">
        <v>17701.48345093941</v>
      </c>
      <c r="K2116" s="568" t="s">
        <v>4963</v>
      </c>
      <c r="L2116"/>
      <c r="M2116" s="540"/>
      <c r="O2116" s="540"/>
    </row>
    <row r="2117" spans="1:15">
      <c r="A2117" s="565">
        <v>2811</v>
      </c>
      <c r="B2117" s="696" t="s">
        <v>7523</v>
      </c>
      <c r="C2117" s="566">
        <f t="shared" si="32"/>
        <v>2811</v>
      </c>
      <c r="D2117" s="700" t="s">
        <v>2247</v>
      </c>
      <c r="E2117" s="701" t="s">
        <v>9992</v>
      </c>
      <c r="F2117" s="566">
        <v>1</v>
      </c>
      <c r="G2117" s="662">
        <v>21836.999824518054</v>
      </c>
      <c r="H2117" s="662">
        <v>22475.342731001121</v>
      </c>
      <c r="I2117" s="662">
        <v>23147.290912986919</v>
      </c>
      <c r="J2117" s="662">
        <v>23854.637910460133</v>
      </c>
      <c r="K2117" s="566" t="s">
        <v>1461</v>
      </c>
      <c r="L2117"/>
      <c r="M2117" s="540"/>
      <c r="O2117" s="540"/>
    </row>
    <row r="2118" spans="1:15">
      <c r="A2118" s="565">
        <v>2812</v>
      </c>
      <c r="B2118" s="696" t="s">
        <v>7524</v>
      </c>
      <c r="C2118" s="566">
        <f t="shared" si="32"/>
        <v>2812</v>
      </c>
      <c r="D2118" s="700" t="s">
        <v>2247</v>
      </c>
      <c r="E2118" s="701" t="s">
        <v>9993</v>
      </c>
      <c r="F2118" s="566">
        <v>1</v>
      </c>
      <c r="G2118" s="662">
        <v>16009.277212324227</v>
      </c>
      <c r="H2118" s="662">
        <v>16458.062328849697</v>
      </c>
      <c r="I2118" s="662">
        <v>0</v>
      </c>
      <c r="J2118" s="662">
        <v>0</v>
      </c>
      <c r="K2118" s="566" t="s">
        <v>1462</v>
      </c>
      <c r="L2118"/>
      <c r="M2118" s="540"/>
      <c r="O2118" s="540"/>
    </row>
    <row r="2119" spans="1:15">
      <c r="A2119" s="565">
        <v>2813</v>
      </c>
      <c r="B2119" s="697" t="s">
        <v>7525</v>
      </c>
      <c r="C2119" s="566">
        <f t="shared" si="32"/>
        <v>2813</v>
      </c>
      <c r="D2119" s="699" t="s">
        <v>2247</v>
      </c>
      <c r="E2119" s="701" t="s">
        <v>9994</v>
      </c>
      <c r="F2119" s="567">
        <v>1</v>
      </c>
      <c r="G2119" s="662">
        <v>15922.161812443024</v>
      </c>
      <c r="H2119" s="662">
        <v>16370.652665086182</v>
      </c>
      <c r="I2119" s="662">
        <v>0</v>
      </c>
      <c r="J2119" s="662">
        <v>0</v>
      </c>
      <c r="K2119" s="568" t="s">
        <v>1463</v>
      </c>
      <c r="L2119"/>
      <c r="M2119" s="540"/>
      <c r="O2119" s="540"/>
    </row>
    <row r="2120" spans="1:15">
      <c r="A2120" s="565">
        <v>2814</v>
      </c>
      <c r="B2120" s="696" t="s">
        <v>7526</v>
      </c>
      <c r="C2120" s="566">
        <f t="shared" si="32"/>
        <v>2814</v>
      </c>
      <c r="D2120" s="700" t="s">
        <v>2247</v>
      </c>
      <c r="E2120" s="701" t="s">
        <v>9995</v>
      </c>
      <c r="F2120" s="566">
        <v>1</v>
      </c>
      <c r="G2120" s="662">
        <v>18489.713255135015</v>
      </c>
      <c r="H2120" s="662">
        <v>19022.657842004115</v>
      </c>
      <c r="I2120" s="662">
        <v>0</v>
      </c>
      <c r="J2120" s="662">
        <v>0</v>
      </c>
      <c r="K2120" s="566" t="s">
        <v>1464</v>
      </c>
      <c r="L2120"/>
      <c r="M2120" s="540"/>
      <c r="O2120" s="540"/>
    </row>
    <row r="2121" spans="1:15">
      <c r="A2121" s="565">
        <v>2815</v>
      </c>
      <c r="B2121" s="696" t="s">
        <v>7527</v>
      </c>
      <c r="C2121" s="566">
        <f t="shared" ref="C2121:C2184" si="33">A2121</f>
        <v>2815</v>
      </c>
      <c r="D2121" s="700" t="s">
        <v>2247</v>
      </c>
      <c r="E2121" s="701" t="s">
        <v>9996</v>
      </c>
      <c r="F2121" s="566">
        <v>1</v>
      </c>
      <c r="G2121" s="662">
        <v>0</v>
      </c>
      <c r="H2121" s="662">
        <v>0</v>
      </c>
      <c r="I2121" s="662">
        <v>19277.189838753009</v>
      </c>
      <c r="J2121" s="662">
        <v>19813.665592209945</v>
      </c>
      <c r="K2121" s="566" t="s">
        <v>4213</v>
      </c>
      <c r="L2121"/>
      <c r="M2121" s="540"/>
      <c r="O2121" s="540"/>
    </row>
    <row r="2122" spans="1:15">
      <c r="A2122" s="565">
        <v>2816</v>
      </c>
      <c r="B2122" s="696" t="s">
        <v>7528</v>
      </c>
      <c r="C2122" s="566">
        <f t="shared" si="33"/>
        <v>2816</v>
      </c>
      <c r="D2122" s="700" t="s">
        <v>2247</v>
      </c>
      <c r="E2122" s="701" t="s">
        <v>9997</v>
      </c>
      <c r="F2122" s="566">
        <v>1</v>
      </c>
      <c r="G2122" s="662">
        <v>0</v>
      </c>
      <c r="H2122" s="662">
        <v>0</v>
      </c>
      <c r="I2122" s="662">
        <v>23421.768169476523</v>
      </c>
      <c r="J2122" s="662">
        <v>24089.12595859218</v>
      </c>
      <c r="K2122" s="566" t="s">
        <v>4214</v>
      </c>
      <c r="L2122"/>
      <c r="M2122" s="540"/>
      <c r="O2122" s="540"/>
    </row>
    <row r="2123" spans="1:15">
      <c r="A2123" s="565">
        <v>2817</v>
      </c>
      <c r="B2123" s="696" t="s">
        <v>7529</v>
      </c>
      <c r="C2123" s="566">
        <f t="shared" si="33"/>
        <v>2817</v>
      </c>
      <c r="D2123" s="700" t="s">
        <v>2247</v>
      </c>
      <c r="E2123" s="701" t="s">
        <v>9998</v>
      </c>
      <c r="F2123" s="566">
        <v>1</v>
      </c>
      <c r="G2123" s="662">
        <v>0</v>
      </c>
      <c r="H2123" s="662">
        <v>0</v>
      </c>
      <c r="I2123" s="662">
        <v>24996.217452508779</v>
      </c>
      <c r="J2123" s="662">
        <v>25713.305837736574</v>
      </c>
      <c r="K2123" s="566" t="s">
        <v>4215</v>
      </c>
      <c r="L2123"/>
      <c r="M2123" s="540"/>
      <c r="O2123" s="540"/>
    </row>
    <row r="2124" spans="1:15">
      <c r="A2124" s="565">
        <v>2818</v>
      </c>
      <c r="B2124" s="696" t="s">
        <v>7530</v>
      </c>
      <c r="C2124" s="566">
        <f t="shared" si="33"/>
        <v>2818</v>
      </c>
      <c r="D2124" s="700" t="s">
        <v>2247</v>
      </c>
      <c r="E2124" s="701" t="s">
        <v>9999</v>
      </c>
      <c r="F2124" s="566">
        <v>1</v>
      </c>
      <c r="G2124" s="662">
        <v>19986.004135830084</v>
      </c>
      <c r="H2124" s="662">
        <v>20568.156183020528</v>
      </c>
      <c r="I2124" s="662">
        <v>0</v>
      </c>
      <c r="J2124" s="662">
        <v>0</v>
      </c>
      <c r="K2124" s="566" t="s">
        <v>1465</v>
      </c>
      <c r="L2124"/>
      <c r="M2124" s="540"/>
      <c r="O2124" s="540"/>
    </row>
    <row r="2125" spans="1:15">
      <c r="A2125" s="565">
        <v>2819</v>
      </c>
      <c r="B2125" s="696" t="s">
        <v>7531</v>
      </c>
      <c r="C2125" s="566">
        <f t="shared" si="33"/>
        <v>2819</v>
      </c>
      <c r="D2125" s="700" t="s">
        <v>2247</v>
      </c>
      <c r="E2125" s="701" t="s">
        <v>10000</v>
      </c>
      <c r="F2125" s="566">
        <v>1</v>
      </c>
      <c r="G2125" s="662">
        <v>0</v>
      </c>
      <c r="H2125" s="662">
        <v>0</v>
      </c>
      <c r="I2125" s="662">
        <v>21028.212873153359</v>
      </c>
      <c r="J2125" s="662">
        <v>21619.977540499603</v>
      </c>
      <c r="K2125" s="566" t="s">
        <v>4216</v>
      </c>
      <c r="L2125"/>
      <c r="M2125" s="540"/>
      <c r="O2125" s="540"/>
    </row>
    <row r="2126" spans="1:15">
      <c r="A2126" s="565">
        <v>2820</v>
      </c>
      <c r="B2126" s="696" t="s">
        <v>7532</v>
      </c>
      <c r="C2126" s="566">
        <f t="shared" si="33"/>
        <v>2820</v>
      </c>
      <c r="D2126" s="700" t="s">
        <v>2247</v>
      </c>
      <c r="E2126" s="701" t="s">
        <v>10001</v>
      </c>
      <c r="F2126" s="566">
        <v>1</v>
      </c>
      <c r="G2126" s="662">
        <v>32647.89435923885</v>
      </c>
      <c r="H2126" s="662">
        <v>33673.078868717399</v>
      </c>
      <c r="I2126" s="662">
        <v>34752.231871608405</v>
      </c>
      <c r="J2126" s="662">
        <v>35888.172617567747</v>
      </c>
      <c r="K2126" s="566" t="s">
        <v>1466</v>
      </c>
      <c r="L2126"/>
      <c r="M2126" s="540"/>
      <c r="O2126" s="540"/>
    </row>
    <row r="2127" spans="1:15">
      <c r="A2127" s="565">
        <v>2821</v>
      </c>
      <c r="B2127" s="696" t="s">
        <v>7533</v>
      </c>
      <c r="C2127" s="566">
        <f t="shared" si="33"/>
        <v>2821</v>
      </c>
      <c r="D2127" s="700" t="s">
        <v>2247</v>
      </c>
      <c r="E2127" s="701" t="s">
        <v>10002</v>
      </c>
      <c r="F2127" s="566">
        <v>1</v>
      </c>
      <c r="G2127" s="662">
        <v>35073.067571528896</v>
      </c>
      <c r="H2127" s="662">
        <v>36139.270614462162</v>
      </c>
      <c r="I2127" s="662">
        <v>37261.579823623855</v>
      </c>
      <c r="J2127" s="662">
        <v>38442.96935249713</v>
      </c>
      <c r="K2127" s="566" t="s">
        <v>1467</v>
      </c>
      <c r="L2127"/>
      <c r="M2127" s="540"/>
      <c r="O2127" s="540"/>
    </row>
    <row r="2128" spans="1:15">
      <c r="A2128" s="565">
        <v>2822</v>
      </c>
      <c r="B2128" s="696" t="s">
        <v>7534</v>
      </c>
      <c r="C2128" s="566">
        <f t="shared" si="33"/>
        <v>2822</v>
      </c>
      <c r="D2128" s="700" t="s">
        <v>2247</v>
      </c>
      <c r="E2128" s="701" t="s">
        <v>10003</v>
      </c>
      <c r="F2128" s="566">
        <v>1</v>
      </c>
      <c r="G2128" s="662">
        <v>28095.044004993393</v>
      </c>
      <c r="H2128" s="662">
        <v>0</v>
      </c>
      <c r="I2128" s="662">
        <v>0</v>
      </c>
      <c r="J2128" s="662">
        <v>0</v>
      </c>
      <c r="K2128" s="566" t="s">
        <v>5368</v>
      </c>
      <c r="L2128"/>
      <c r="M2128" s="540"/>
      <c r="O2128" s="540"/>
    </row>
    <row r="2129" spans="1:15">
      <c r="A2129" s="565">
        <v>2823</v>
      </c>
      <c r="B2129" s="696" t="s">
        <v>7535</v>
      </c>
      <c r="C2129" s="566">
        <f t="shared" si="33"/>
        <v>2823</v>
      </c>
      <c r="D2129" s="700" t="s">
        <v>2247</v>
      </c>
      <c r="E2129" s="701" t="s">
        <v>10004</v>
      </c>
      <c r="F2129" s="566">
        <v>1</v>
      </c>
      <c r="G2129" s="662">
        <v>14222.977127490743</v>
      </c>
      <c r="H2129" s="662">
        <v>14676.500705600454</v>
      </c>
      <c r="I2129" s="662">
        <v>15153.853960799968</v>
      </c>
      <c r="J2129" s="662">
        <v>15656.379053435476</v>
      </c>
      <c r="K2129" s="566" t="s">
        <v>1468</v>
      </c>
      <c r="L2129"/>
      <c r="M2129" s="540"/>
      <c r="O2129" s="540"/>
    </row>
    <row r="2130" spans="1:15">
      <c r="A2130" s="565">
        <v>2824</v>
      </c>
      <c r="B2130" s="695" t="s">
        <v>7536</v>
      </c>
      <c r="C2130" s="566">
        <f t="shared" si="33"/>
        <v>2824</v>
      </c>
      <c r="D2130" s="699" t="s">
        <v>2247</v>
      </c>
      <c r="E2130" s="701" t="s">
        <v>10005</v>
      </c>
      <c r="F2130" s="567">
        <v>1</v>
      </c>
      <c r="G2130" s="662">
        <v>14856.585696745953</v>
      </c>
      <c r="H2130" s="662">
        <v>15332.85002940045</v>
      </c>
      <c r="I2130" s="662">
        <v>15834.184904370468</v>
      </c>
      <c r="J2130" s="662">
        <v>16361.907158222073</v>
      </c>
      <c r="K2130" s="568" t="s">
        <v>1469</v>
      </c>
      <c r="L2130"/>
      <c r="M2130" s="540"/>
      <c r="O2130" s="540"/>
    </row>
    <row r="2131" spans="1:15">
      <c r="A2131" s="565">
        <v>2825</v>
      </c>
      <c r="B2131" s="696" t="s">
        <v>7537</v>
      </c>
      <c r="C2131" s="566">
        <f t="shared" si="33"/>
        <v>2825</v>
      </c>
      <c r="D2131" s="700" t="s">
        <v>2247</v>
      </c>
      <c r="E2131" s="701" t="s">
        <v>10006</v>
      </c>
      <c r="F2131" s="566">
        <v>1</v>
      </c>
      <c r="G2131" s="662">
        <v>18814.456777092128</v>
      </c>
      <c r="H2131" s="662">
        <v>19442.106667284177</v>
      </c>
      <c r="I2131" s="662">
        <v>20102.778766748372</v>
      </c>
      <c r="J2131" s="662">
        <v>20798.245740092902</v>
      </c>
      <c r="K2131" s="566" t="s">
        <v>1470</v>
      </c>
      <c r="L2131"/>
      <c r="M2131" s="540"/>
      <c r="O2131" s="540"/>
    </row>
    <row r="2132" spans="1:15">
      <c r="A2132" s="565">
        <v>2826</v>
      </c>
      <c r="B2132" s="695" t="s">
        <v>7538</v>
      </c>
      <c r="C2132" s="566">
        <f t="shared" si="33"/>
        <v>2826</v>
      </c>
      <c r="D2132" s="699" t="s">
        <v>2247</v>
      </c>
      <c r="E2132" s="701" t="s">
        <v>10007</v>
      </c>
      <c r="F2132" s="567">
        <v>1</v>
      </c>
      <c r="G2132" s="662">
        <v>19018.219409136789</v>
      </c>
      <c r="H2132" s="662">
        <v>19644.653757883229</v>
      </c>
      <c r="I2132" s="662">
        <v>20304.034344561474</v>
      </c>
      <c r="J2132" s="662">
        <v>20998.133833779702</v>
      </c>
      <c r="K2132" s="568" t="s">
        <v>1471</v>
      </c>
      <c r="L2132"/>
      <c r="M2132" s="540"/>
      <c r="O2132" s="540"/>
    </row>
    <row r="2133" spans="1:15">
      <c r="A2133" s="565">
        <v>2827</v>
      </c>
      <c r="B2133" s="695" t="s">
        <v>7539</v>
      </c>
      <c r="C2133" s="566">
        <f t="shared" si="33"/>
        <v>2827</v>
      </c>
      <c r="D2133" s="699" t="s">
        <v>2247</v>
      </c>
      <c r="E2133" s="701" t="s">
        <v>10008</v>
      </c>
      <c r="F2133" s="567">
        <v>1</v>
      </c>
      <c r="G2133" s="662">
        <v>20915.055039090283</v>
      </c>
      <c r="H2133" s="662">
        <v>21623.031959812455</v>
      </c>
      <c r="I2133" s="662">
        <v>22368.260161086258</v>
      </c>
      <c r="J2133" s="662">
        <v>23152.740221540935</v>
      </c>
      <c r="K2133" s="568" t="s">
        <v>1472</v>
      </c>
      <c r="L2133"/>
      <c r="M2133" s="540"/>
      <c r="O2133" s="540"/>
    </row>
    <row r="2134" spans="1:15">
      <c r="A2134" s="565">
        <v>2828</v>
      </c>
      <c r="B2134" s="696" t="s">
        <v>7540</v>
      </c>
      <c r="C2134" s="566">
        <f t="shared" si="33"/>
        <v>2828</v>
      </c>
      <c r="D2134" s="700" t="s">
        <v>2247</v>
      </c>
      <c r="E2134" s="701" t="s">
        <v>10009</v>
      </c>
      <c r="F2134" s="566">
        <v>2</v>
      </c>
      <c r="G2134" s="662">
        <v>28845.23034772863</v>
      </c>
      <c r="H2134" s="662">
        <v>29661.753095662876</v>
      </c>
      <c r="I2134" s="662">
        <v>30521.265759134683</v>
      </c>
      <c r="J2134" s="662">
        <v>31426.005908498712</v>
      </c>
      <c r="K2134" s="566" t="s">
        <v>1473</v>
      </c>
      <c r="L2134"/>
      <c r="M2134" s="540"/>
      <c r="O2134" s="540"/>
    </row>
    <row r="2135" spans="1:15">
      <c r="A2135" s="565">
        <v>2829</v>
      </c>
      <c r="B2135" s="696" t="s">
        <v>7541</v>
      </c>
      <c r="C2135" s="566">
        <f t="shared" si="33"/>
        <v>2829</v>
      </c>
      <c r="D2135" s="700" t="s">
        <v>2247</v>
      </c>
      <c r="E2135" s="701" t="s">
        <v>10010</v>
      </c>
      <c r="F2135" s="566">
        <v>2</v>
      </c>
      <c r="G2135" s="662">
        <v>35103.607928124628</v>
      </c>
      <c r="H2135" s="662">
        <v>36071.000047419358</v>
      </c>
      <c r="I2135" s="662">
        <v>37038.392166714089</v>
      </c>
      <c r="J2135" s="662">
        <v>38056.677109607539</v>
      </c>
      <c r="K2135" s="566" t="s">
        <v>1474</v>
      </c>
      <c r="L2135"/>
      <c r="M2135" s="540"/>
      <c r="O2135" s="540"/>
    </row>
    <row r="2136" spans="1:15">
      <c r="A2136" s="565">
        <v>2830</v>
      </c>
      <c r="B2136" s="696" t="s">
        <v>7542</v>
      </c>
      <c r="C2136" s="566">
        <f t="shared" si="33"/>
        <v>2830</v>
      </c>
      <c r="D2136" s="700" t="s">
        <v>2247</v>
      </c>
      <c r="E2136" s="701" t="s">
        <v>10011</v>
      </c>
      <c r="F2136" s="566">
        <v>2</v>
      </c>
      <c r="G2136" s="662">
        <v>30687.262648356169</v>
      </c>
      <c r="H2136" s="662">
        <v>31563.723717067583</v>
      </c>
      <c r="I2136" s="662">
        <v>32486.269213509178</v>
      </c>
      <c r="J2136" s="662">
        <v>33457.42235531495</v>
      </c>
      <c r="K2136" s="566" t="s">
        <v>1475</v>
      </c>
      <c r="L2136"/>
      <c r="M2136" s="540"/>
      <c r="O2136" s="540"/>
    </row>
    <row r="2137" spans="1:15">
      <c r="A2137" s="565">
        <v>2831</v>
      </c>
      <c r="B2137" s="696" t="s">
        <v>7543</v>
      </c>
      <c r="C2137" s="566">
        <f t="shared" si="33"/>
        <v>2831</v>
      </c>
      <c r="D2137" s="700" t="s">
        <v>2247</v>
      </c>
      <c r="E2137" s="701" t="s">
        <v>10012</v>
      </c>
      <c r="F2137" s="566">
        <v>2</v>
      </c>
      <c r="G2137" s="662">
        <v>25915.037713595913</v>
      </c>
      <c r="H2137" s="662">
        <v>26610.303191459116</v>
      </c>
      <c r="I2137" s="662">
        <v>27342.179128955075</v>
      </c>
      <c r="J2137" s="662">
        <v>28112.569841279252</v>
      </c>
      <c r="K2137" s="566" t="s">
        <v>1476</v>
      </c>
      <c r="L2137"/>
      <c r="M2137" s="540"/>
      <c r="O2137" s="540"/>
    </row>
    <row r="2138" spans="1:15">
      <c r="A2138" s="565">
        <v>2832</v>
      </c>
      <c r="B2138" s="696" t="s">
        <v>7544</v>
      </c>
      <c r="C2138" s="566">
        <f t="shared" si="33"/>
        <v>2832</v>
      </c>
      <c r="D2138" s="700" t="s">
        <v>2247</v>
      </c>
      <c r="E2138" s="701" t="s">
        <v>10013</v>
      </c>
      <c r="F2138" s="566">
        <v>2</v>
      </c>
      <c r="G2138" s="662">
        <v>42809.058807681758</v>
      </c>
      <c r="H2138" s="662">
        <v>44434.296495795999</v>
      </c>
      <c r="I2138" s="662">
        <v>46145.079040894365</v>
      </c>
      <c r="J2138" s="662">
        <v>47945.932929046336</v>
      </c>
      <c r="K2138" s="566" t="s">
        <v>1477</v>
      </c>
      <c r="L2138"/>
      <c r="M2138" s="540"/>
      <c r="O2138" s="540"/>
    </row>
    <row r="2139" spans="1:15">
      <c r="A2139" s="565">
        <v>2833</v>
      </c>
      <c r="B2139" s="696" t="s">
        <v>7545</v>
      </c>
      <c r="C2139" s="566">
        <f t="shared" si="33"/>
        <v>2833</v>
      </c>
      <c r="D2139" s="700" t="s">
        <v>2247</v>
      </c>
      <c r="E2139" s="701" t="s">
        <v>10014</v>
      </c>
      <c r="F2139" s="566">
        <v>2</v>
      </c>
      <c r="G2139" s="662">
        <v>31682.373998963954</v>
      </c>
      <c r="H2139" s="662">
        <v>32557.78769431786</v>
      </c>
      <c r="I2139" s="662">
        <v>33479.285817401957</v>
      </c>
      <c r="J2139" s="662">
        <v>34449.248762210562</v>
      </c>
      <c r="K2139" s="566" t="s">
        <v>1478</v>
      </c>
      <c r="L2139"/>
      <c r="M2139" s="540"/>
      <c r="O2139" s="540"/>
    </row>
    <row r="2140" spans="1:15">
      <c r="A2140" s="565">
        <v>2834</v>
      </c>
      <c r="B2140" s="696" t="s">
        <v>7546</v>
      </c>
      <c r="C2140" s="566">
        <f t="shared" si="33"/>
        <v>2834</v>
      </c>
      <c r="D2140" s="700" t="s">
        <v>2247</v>
      </c>
      <c r="E2140" s="701" t="s">
        <v>10015</v>
      </c>
      <c r="F2140" s="566">
        <v>2</v>
      </c>
      <c r="G2140" s="662">
        <v>28971.816450329123</v>
      </c>
      <c r="H2140" s="662">
        <v>29762.535727364859</v>
      </c>
      <c r="I2140" s="662">
        <v>30594.911899301322</v>
      </c>
      <c r="J2140" s="662">
        <v>31471.087320733419</v>
      </c>
      <c r="K2140" s="566" t="s">
        <v>1479</v>
      </c>
      <c r="L2140"/>
      <c r="M2140" s="540"/>
      <c r="O2140" s="540"/>
    </row>
    <row r="2141" spans="1:15">
      <c r="A2141" s="565">
        <v>2835</v>
      </c>
      <c r="B2141" s="696" t="s">
        <v>7547</v>
      </c>
      <c r="C2141" s="566">
        <f t="shared" si="33"/>
        <v>2835</v>
      </c>
      <c r="D2141" s="700" t="s">
        <v>2247</v>
      </c>
      <c r="E2141" s="701" t="s">
        <v>10016</v>
      </c>
      <c r="F2141" s="566">
        <v>2</v>
      </c>
      <c r="G2141" s="662">
        <v>38587.323203419</v>
      </c>
      <c r="H2141" s="662">
        <v>39660.88089486074</v>
      </c>
      <c r="I2141" s="662">
        <v>40734.43858630248</v>
      </c>
      <c r="J2141" s="662">
        <v>41864.506831169543</v>
      </c>
      <c r="K2141" s="566" t="s">
        <v>1480</v>
      </c>
      <c r="L2141"/>
      <c r="M2141" s="540"/>
      <c r="O2141" s="540"/>
    </row>
    <row r="2142" spans="1:15">
      <c r="A2142" s="565">
        <v>2836</v>
      </c>
      <c r="B2142" s="696" t="s">
        <v>7548</v>
      </c>
      <c r="C2142" s="566">
        <f t="shared" si="33"/>
        <v>2836</v>
      </c>
      <c r="D2142" s="700" t="s">
        <v>2247</v>
      </c>
      <c r="E2142" s="701" t="s">
        <v>10017</v>
      </c>
      <c r="F2142" s="566">
        <v>1</v>
      </c>
      <c r="G2142" s="662">
        <v>0</v>
      </c>
      <c r="H2142" s="662">
        <v>0</v>
      </c>
      <c r="I2142" s="662">
        <v>0</v>
      </c>
      <c r="J2142" s="662">
        <v>10486.381134023792</v>
      </c>
      <c r="K2142" s="566" t="s">
        <v>4964</v>
      </c>
      <c r="L2142"/>
      <c r="M2142" s="540"/>
      <c r="O2142" s="540"/>
    </row>
    <row r="2143" spans="1:15">
      <c r="A2143" s="565">
        <v>2837</v>
      </c>
      <c r="B2143" s="696" t="s">
        <v>7549</v>
      </c>
      <c r="C2143" s="566">
        <f t="shared" si="33"/>
        <v>2837</v>
      </c>
      <c r="D2143" s="700" t="s">
        <v>2247</v>
      </c>
      <c r="E2143" s="701" t="s">
        <v>10018</v>
      </c>
      <c r="F2143" s="566">
        <v>1</v>
      </c>
      <c r="G2143" s="662">
        <v>0</v>
      </c>
      <c r="H2143" s="662">
        <v>0</v>
      </c>
      <c r="I2143" s="662">
        <v>0</v>
      </c>
      <c r="J2143" s="662">
        <v>9611.4440117178128</v>
      </c>
      <c r="K2143" s="566" t="s">
        <v>4965</v>
      </c>
      <c r="L2143"/>
      <c r="M2143" s="540"/>
      <c r="O2143" s="540"/>
    </row>
    <row r="2144" spans="1:15">
      <c r="A2144" s="565">
        <v>2838</v>
      </c>
      <c r="B2144" s="696" t="s">
        <v>7550</v>
      </c>
      <c r="C2144" s="566">
        <f t="shared" si="33"/>
        <v>2838</v>
      </c>
      <c r="D2144" s="700" t="s">
        <v>2247</v>
      </c>
      <c r="E2144" s="701" t="s">
        <v>10019</v>
      </c>
      <c r="F2144" s="566">
        <v>1</v>
      </c>
      <c r="G2144" s="662">
        <v>10008.581411463278</v>
      </c>
      <c r="H2144" s="662">
        <v>10258.40583148722</v>
      </c>
      <c r="I2144" s="662">
        <v>10521.378905196629</v>
      </c>
      <c r="J2144" s="662">
        <v>10798.202300885636</v>
      </c>
      <c r="K2144" s="566" t="s">
        <v>1481</v>
      </c>
      <c r="L2144"/>
      <c r="M2144" s="540"/>
      <c r="O2144" s="540"/>
    </row>
    <row r="2145" spans="1:15">
      <c r="A2145" s="565">
        <v>2839</v>
      </c>
      <c r="B2145" s="696" t="s">
        <v>7551</v>
      </c>
      <c r="C2145" s="566">
        <f t="shared" si="33"/>
        <v>2839</v>
      </c>
      <c r="D2145" s="700" t="s">
        <v>2247</v>
      </c>
      <c r="E2145" s="701" t="s">
        <v>10020</v>
      </c>
      <c r="F2145" s="566">
        <v>1</v>
      </c>
      <c r="G2145" s="662">
        <v>0</v>
      </c>
      <c r="H2145" s="662">
        <v>0</v>
      </c>
      <c r="I2145" s="662">
        <v>0</v>
      </c>
      <c r="J2145" s="662">
        <v>10328.032924264848</v>
      </c>
      <c r="K2145" s="566" t="s">
        <v>4966</v>
      </c>
      <c r="L2145"/>
      <c r="M2145" s="540"/>
      <c r="O2145" s="540"/>
    </row>
    <row r="2146" spans="1:15">
      <c r="A2146" s="565">
        <v>2840</v>
      </c>
      <c r="B2146" s="696" t="s">
        <v>7552</v>
      </c>
      <c r="C2146" s="566">
        <f t="shared" si="33"/>
        <v>2840</v>
      </c>
      <c r="D2146" s="700" t="s">
        <v>2247</v>
      </c>
      <c r="E2146" s="701" t="s">
        <v>10021</v>
      </c>
      <c r="F2146" s="566">
        <v>1</v>
      </c>
      <c r="G2146" s="662">
        <v>10222.225570389139</v>
      </c>
      <c r="H2146" s="662">
        <v>0</v>
      </c>
      <c r="I2146" s="662">
        <v>0</v>
      </c>
      <c r="J2146" s="662">
        <v>0</v>
      </c>
      <c r="K2146" s="566" t="s">
        <v>5369</v>
      </c>
      <c r="L2146"/>
      <c r="M2146" s="540"/>
      <c r="O2146" s="540"/>
    </row>
    <row r="2147" spans="1:15">
      <c r="A2147" s="565">
        <v>2841</v>
      </c>
      <c r="B2147" s="696" t="s">
        <v>7553</v>
      </c>
      <c r="C2147" s="566">
        <f t="shared" si="33"/>
        <v>2841</v>
      </c>
      <c r="D2147" s="700" t="s">
        <v>2247</v>
      </c>
      <c r="E2147" s="701" t="s">
        <v>10022</v>
      </c>
      <c r="F2147" s="566">
        <v>1</v>
      </c>
      <c r="G2147" s="662">
        <v>0</v>
      </c>
      <c r="H2147" s="662">
        <v>0</v>
      </c>
      <c r="I2147" s="662">
        <v>0</v>
      </c>
      <c r="J2147" s="662">
        <v>11597.463594002746</v>
      </c>
      <c r="K2147" s="566" t="s">
        <v>4967</v>
      </c>
      <c r="L2147"/>
      <c r="M2147" s="540"/>
      <c r="O2147" s="540"/>
    </row>
    <row r="2148" spans="1:15">
      <c r="A2148" s="565">
        <v>2842</v>
      </c>
      <c r="B2148" s="696" t="s">
        <v>7554</v>
      </c>
      <c r="C2148" s="566">
        <f t="shared" si="33"/>
        <v>2842</v>
      </c>
      <c r="D2148" s="700" t="s">
        <v>2247</v>
      </c>
      <c r="E2148" s="701" t="s">
        <v>10023</v>
      </c>
      <c r="F2148" s="566">
        <v>1</v>
      </c>
      <c r="G2148" s="662">
        <v>9725.9557471002609</v>
      </c>
      <c r="H2148" s="662">
        <v>0</v>
      </c>
      <c r="I2148" s="662">
        <v>0</v>
      </c>
      <c r="J2148" s="662">
        <v>0</v>
      </c>
      <c r="K2148" s="566" t="s">
        <v>5370</v>
      </c>
      <c r="L2148"/>
      <c r="M2148" s="540"/>
      <c r="O2148" s="540"/>
    </row>
    <row r="2149" spans="1:15">
      <c r="A2149" s="565">
        <v>2843</v>
      </c>
      <c r="B2149" s="696" t="s">
        <v>7555</v>
      </c>
      <c r="C2149" s="566">
        <f t="shared" si="33"/>
        <v>2843</v>
      </c>
      <c r="D2149" s="700" t="s">
        <v>2247</v>
      </c>
      <c r="E2149" s="701" t="s">
        <v>10024</v>
      </c>
      <c r="F2149" s="566">
        <v>1</v>
      </c>
      <c r="G2149" s="662">
        <v>0</v>
      </c>
      <c r="H2149" s="662">
        <v>0</v>
      </c>
      <c r="I2149" s="662">
        <v>0</v>
      </c>
      <c r="J2149" s="662">
        <v>11094.440087357272</v>
      </c>
      <c r="K2149" s="566" t="s">
        <v>4968</v>
      </c>
      <c r="L2149"/>
      <c r="M2149" s="540"/>
      <c r="O2149" s="540"/>
    </row>
    <row r="2150" spans="1:15">
      <c r="A2150" s="565">
        <v>2844</v>
      </c>
      <c r="B2150" s="696" t="s">
        <v>7556</v>
      </c>
      <c r="C2150" s="566">
        <f t="shared" si="33"/>
        <v>2844</v>
      </c>
      <c r="D2150" s="700" t="s">
        <v>2247</v>
      </c>
      <c r="E2150" s="701" t="s">
        <v>10025</v>
      </c>
      <c r="F2150" s="566">
        <v>1</v>
      </c>
      <c r="G2150" s="662">
        <v>10718.495393678013</v>
      </c>
      <c r="H2150" s="662">
        <v>10991.291823505109</v>
      </c>
      <c r="I2150" s="662">
        <v>11278.426692385967</v>
      </c>
      <c r="J2150" s="662">
        <v>11580.693190566113</v>
      </c>
      <c r="K2150" s="566" t="s">
        <v>1482</v>
      </c>
      <c r="L2150"/>
      <c r="M2150" s="540"/>
      <c r="O2150" s="540"/>
    </row>
    <row r="2151" spans="1:15">
      <c r="A2151" s="565">
        <v>2845</v>
      </c>
      <c r="B2151" s="696" t="s">
        <v>7557</v>
      </c>
      <c r="C2151" s="566">
        <f t="shared" si="33"/>
        <v>2845</v>
      </c>
      <c r="D2151" s="700" t="s">
        <v>2247</v>
      </c>
      <c r="E2151" s="701" t="s">
        <v>10026</v>
      </c>
      <c r="F2151" s="566">
        <v>1</v>
      </c>
      <c r="G2151" s="662">
        <v>10222.225570389139</v>
      </c>
      <c r="H2151" s="662">
        <v>10478.975151402872</v>
      </c>
      <c r="I2151" s="662">
        <v>10749.208966590579</v>
      </c>
      <c r="J2151" s="662">
        <v>11033.689698880631</v>
      </c>
      <c r="K2151" s="566" t="s">
        <v>1483</v>
      </c>
      <c r="L2151"/>
      <c r="M2151" s="540"/>
      <c r="O2151" s="540"/>
    </row>
    <row r="2152" spans="1:15">
      <c r="A2152" s="565">
        <v>2846</v>
      </c>
      <c r="B2152" s="696" t="s">
        <v>7558</v>
      </c>
      <c r="C2152" s="566">
        <f t="shared" si="33"/>
        <v>2846</v>
      </c>
      <c r="D2152" s="700" t="s">
        <v>2248</v>
      </c>
      <c r="E2152" s="701" t="s">
        <v>10027</v>
      </c>
      <c r="F2152" s="566">
        <v>2</v>
      </c>
      <c r="G2152" s="662">
        <v>21217.657640108995</v>
      </c>
      <c r="H2152" s="662">
        <v>21910.381900616703</v>
      </c>
      <c r="I2152" s="662">
        <v>22679.999127013689</v>
      </c>
      <c r="J2152" s="662">
        <v>23449.673650702691</v>
      </c>
      <c r="K2152" s="566" t="s">
        <v>3223</v>
      </c>
      <c r="L2152"/>
      <c r="M2152" s="540"/>
      <c r="O2152" s="540"/>
    </row>
    <row r="2153" spans="1:15">
      <c r="A2153" s="565">
        <v>2847</v>
      </c>
      <c r="B2153" s="696" t="s">
        <v>7559</v>
      </c>
      <c r="C2153" s="566">
        <f t="shared" si="33"/>
        <v>2847</v>
      </c>
      <c r="D2153" s="700" t="s">
        <v>2248</v>
      </c>
      <c r="E2153" s="701" t="s">
        <v>10028</v>
      </c>
      <c r="F2153" s="566">
        <v>2</v>
      </c>
      <c r="G2153" s="662">
        <v>0</v>
      </c>
      <c r="H2153" s="662">
        <v>0</v>
      </c>
      <c r="I2153" s="662">
        <v>29496.963956518674</v>
      </c>
      <c r="J2153" s="662">
        <v>30517.772511126226</v>
      </c>
      <c r="K2153" s="566" t="s">
        <v>4969</v>
      </c>
      <c r="L2153"/>
      <c r="M2153" s="540"/>
      <c r="O2153" s="540"/>
    </row>
    <row r="2154" spans="1:15">
      <c r="A2154" s="565">
        <v>2848</v>
      </c>
      <c r="B2154" s="696" t="s">
        <v>7560</v>
      </c>
      <c r="C2154" s="566">
        <f t="shared" si="33"/>
        <v>2848</v>
      </c>
      <c r="D2154" s="700" t="s">
        <v>2248</v>
      </c>
      <c r="E2154" s="701" t="s">
        <v>10029</v>
      </c>
      <c r="F2154" s="566">
        <v>2</v>
      </c>
      <c r="G2154" s="662">
        <v>0</v>
      </c>
      <c r="H2154" s="662">
        <v>27657.058926885824</v>
      </c>
      <c r="I2154" s="662">
        <v>28592.781002845411</v>
      </c>
      <c r="J2154" s="662">
        <v>29577.778749941193</v>
      </c>
      <c r="K2154" s="566" t="s">
        <v>4970</v>
      </c>
      <c r="L2154"/>
      <c r="M2154" s="540"/>
      <c r="O2154" s="540"/>
    </row>
    <row r="2155" spans="1:15">
      <c r="A2155" s="565">
        <v>2849</v>
      </c>
      <c r="B2155" s="696" t="s">
        <v>7561</v>
      </c>
      <c r="C2155" s="566">
        <f t="shared" si="33"/>
        <v>2849</v>
      </c>
      <c r="D2155" s="700" t="s">
        <v>2248</v>
      </c>
      <c r="E2155" s="701" t="s">
        <v>10030</v>
      </c>
      <c r="F2155" s="566">
        <v>2</v>
      </c>
      <c r="G2155" s="662">
        <v>25763.333911850204</v>
      </c>
      <c r="H2155" s="662">
        <v>26684.674367513064</v>
      </c>
      <c r="I2155" s="662">
        <v>27606.014823175927</v>
      </c>
      <c r="J2155" s="662">
        <v>28575.82878788672</v>
      </c>
      <c r="K2155" s="566" t="s">
        <v>3224</v>
      </c>
      <c r="L2155"/>
      <c r="M2155" s="540"/>
      <c r="O2155" s="540"/>
    </row>
    <row r="2156" spans="1:15">
      <c r="A2156" s="565">
        <v>2850</v>
      </c>
      <c r="B2156" s="696" t="s">
        <v>7562</v>
      </c>
      <c r="C2156" s="566">
        <f t="shared" si="33"/>
        <v>2850</v>
      </c>
      <c r="D2156" s="700" t="s">
        <v>2248</v>
      </c>
      <c r="E2156" s="701" t="s">
        <v>10031</v>
      </c>
      <c r="F2156" s="566">
        <v>2</v>
      </c>
      <c r="G2156" s="662">
        <v>0</v>
      </c>
      <c r="H2156" s="662">
        <v>30970.884822886026</v>
      </c>
      <c r="I2156" s="662">
        <v>32036.270670684236</v>
      </c>
      <c r="J2156" s="662">
        <v>33157.750567368879</v>
      </c>
      <c r="K2156" s="566" t="s">
        <v>4971</v>
      </c>
      <c r="L2156"/>
      <c r="M2156" s="540"/>
      <c r="O2156" s="540"/>
    </row>
    <row r="2157" spans="1:15">
      <c r="A2157" s="565">
        <v>2851</v>
      </c>
      <c r="B2157" s="696" t="s">
        <v>7563</v>
      </c>
      <c r="C2157" s="566">
        <f t="shared" si="33"/>
        <v>2851</v>
      </c>
      <c r="D2157" s="700" t="s">
        <v>2248</v>
      </c>
      <c r="E2157" s="701" t="s">
        <v>10032</v>
      </c>
      <c r="F2157" s="566">
        <v>2</v>
      </c>
      <c r="G2157" s="662">
        <v>0</v>
      </c>
      <c r="H2157" s="662">
        <v>30100.959095386603</v>
      </c>
      <c r="I2157" s="662">
        <v>31132.310351725617</v>
      </c>
      <c r="J2157" s="662">
        <v>32217.922143606476</v>
      </c>
      <c r="K2157" s="566" t="s">
        <v>4972</v>
      </c>
      <c r="L2157"/>
      <c r="M2157" s="540"/>
      <c r="O2157" s="540"/>
    </row>
    <row r="2158" spans="1:15">
      <c r="A2158" s="565">
        <v>2852</v>
      </c>
      <c r="B2158" s="696" t="s">
        <v>7564</v>
      </c>
      <c r="C2158" s="566">
        <f t="shared" si="33"/>
        <v>2852</v>
      </c>
      <c r="D2158" s="700" t="s">
        <v>2248</v>
      </c>
      <c r="E2158" s="701" t="s">
        <v>10033</v>
      </c>
      <c r="F2158" s="566">
        <v>2</v>
      </c>
      <c r="G2158" s="662">
        <v>0</v>
      </c>
      <c r="H2158" s="662">
        <v>0</v>
      </c>
      <c r="I2158" s="662">
        <v>22804.98230408844</v>
      </c>
      <c r="J2158" s="662">
        <v>24357.567025922803</v>
      </c>
      <c r="K2158" s="566" t="s">
        <v>4973</v>
      </c>
      <c r="L2158"/>
      <c r="M2158" s="540"/>
      <c r="O2158" s="540"/>
    </row>
    <row r="2159" spans="1:15">
      <c r="A2159" s="565">
        <v>2853</v>
      </c>
      <c r="B2159" s="696" t="s">
        <v>7565</v>
      </c>
      <c r="C2159" s="566">
        <f t="shared" si="33"/>
        <v>2853</v>
      </c>
      <c r="D2159" s="700" t="s">
        <v>2248</v>
      </c>
      <c r="E2159" s="701" t="s">
        <v>10034</v>
      </c>
      <c r="F2159" s="566">
        <v>2</v>
      </c>
      <c r="G2159" s="662">
        <v>0</v>
      </c>
      <c r="H2159" s="662">
        <v>0</v>
      </c>
      <c r="I2159" s="662">
        <v>0</v>
      </c>
      <c r="J2159" s="662">
        <v>28123.68038277977</v>
      </c>
      <c r="K2159" s="566" t="s">
        <v>4974</v>
      </c>
      <c r="L2159"/>
      <c r="M2159" s="540"/>
      <c r="O2159" s="540"/>
    </row>
    <row r="2160" spans="1:15">
      <c r="A2160" s="565">
        <v>2854</v>
      </c>
      <c r="B2160" s="696" t="s">
        <v>7566</v>
      </c>
      <c r="C2160" s="566">
        <f t="shared" si="33"/>
        <v>2854</v>
      </c>
      <c r="D2160" s="700" t="s">
        <v>2248</v>
      </c>
      <c r="E2160" s="701" t="s">
        <v>10035</v>
      </c>
      <c r="F2160" s="566">
        <v>2</v>
      </c>
      <c r="G2160" s="662">
        <v>0</v>
      </c>
      <c r="H2160" s="662">
        <v>0</v>
      </c>
      <c r="I2160" s="662">
        <v>0</v>
      </c>
      <c r="J2160" s="662">
        <v>31275.214767512756</v>
      </c>
      <c r="K2160" s="566" t="s">
        <v>4975</v>
      </c>
      <c r="L2160"/>
      <c r="M2160" s="540"/>
      <c r="O2160" s="540"/>
    </row>
    <row r="2161" spans="1:15">
      <c r="A2161" s="565">
        <v>2855</v>
      </c>
      <c r="B2161" s="696" t="s">
        <v>7567</v>
      </c>
      <c r="C2161" s="566">
        <f t="shared" si="33"/>
        <v>2855</v>
      </c>
      <c r="D2161" s="700" t="s">
        <v>2248</v>
      </c>
      <c r="E2161" s="701" t="s">
        <v>10036</v>
      </c>
      <c r="F2161" s="566">
        <v>2</v>
      </c>
      <c r="G2161" s="662">
        <v>30714.645324990539</v>
      </c>
      <c r="H2161" s="662">
        <v>31843.11549130148</v>
      </c>
      <c r="I2161" s="662">
        <v>32971.585657612428</v>
      </c>
      <c r="J2161" s="662">
        <v>34159.473115746907</v>
      </c>
      <c r="K2161" s="566" t="s">
        <v>1484</v>
      </c>
      <c r="L2161"/>
      <c r="M2161" s="540"/>
      <c r="O2161" s="540"/>
    </row>
    <row r="2162" spans="1:15">
      <c r="A2162" s="565">
        <v>2856</v>
      </c>
      <c r="B2162" s="696" t="s">
        <v>7568</v>
      </c>
      <c r="C2162" s="566">
        <f t="shared" si="33"/>
        <v>2856</v>
      </c>
      <c r="D2162" s="700" t="s">
        <v>2248</v>
      </c>
      <c r="E2162" s="701" t="s">
        <v>10037</v>
      </c>
      <c r="F2162" s="566">
        <v>2</v>
      </c>
      <c r="G2162" s="662">
        <v>32109.7688767084</v>
      </c>
      <c r="H2162" s="662">
        <v>33296.567686294526</v>
      </c>
      <c r="I2162" s="662">
        <v>34483.42379317266</v>
      </c>
      <c r="J2162" s="662">
        <v>35732.733948351328</v>
      </c>
      <c r="K2162" s="566" t="s">
        <v>1485</v>
      </c>
      <c r="L2162"/>
      <c r="M2162" s="540"/>
      <c r="O2162" s="540"/>
    </row>
    <row r="2163" spans="1:15">
      <c r="A2163" s="565">
        <v>2857</v>
      </c>
      <c r="B2163" s="696" t="s">
        <v>7569</v>
      </c>
      <c r="C2163" s="566">
        <f t="shared" si="33"/>
        <v>2857</v>
      </c>
      <c r="D2163" s="700" t="s">
        <v>2248</v>
      </c>
      <c r="E2163" s="701" t="s">
        <v>10038</v>
      </c>
      <c r="F2163" s="566">
        <v>2</v>
      </c>
      <c r="G2163" s="662">
        <v>0</v>
      </c>
      <c r="H2163" s="662">
        <v>0</v>
      </c>
      <c r="I2163" s="662">
        <v>42023.291500472296</v>
      </c>
      <c r="J2163" s="662">
        <v>43540.52379313104</v>
      </c>
      <c r="K2163" s="566" t="s">
        <v>4217</v>
      </c>
      <c r="L2163"/>
      <c r="M2163" s="540"/>
      <c r="O2163" s="540"/>
    </row>
    <row r="2164" spans="1:15">
      <c r="A2164" s="565">
        <v>2858</v>
      </c>
      <c r="B2164" s="696" t="s">
        <v>7570</v>
      </c>
      <c r="C2164" s="566">
        <f t="shared" si="33"/>
        <v>2858</v>
      </c>
      <c r="D2164" s="700" t="s">
        <v>2248</v>
      </c>
      <c r="E2164" s="701" t="s">
        <v>10039</v>
      </c>
      <c r="F2164" s="566">
        <v>2</v>
      </c>
      <c r="G2164" s="662">
        <v>33864.810072876622</v>
      </c>
      <c r="H2164" s="662">
        <v>35125.064010830887</v>
      </c>
      <c r="I2164" s="662">
        <v>36385.317948785145</v>
      </c>
      <c r="J2164" s="662">
        <v>37711.922150897226</v>
      </c>
      <c r="K2164" s="566" t="s">
        <v>1486</v>
      </c>
      <c r="L2164"/>
      <c r="M2164" s="540"/>
      <c r="O2164" s="540"/>
    </row>
    <row r="2165" spans="1:15">
      <c r="A2165" s="565">
        <v>2859</v>
      </c>
      <c r="B2165" s="696" t="s">
        <v>7571</v>
      </c>
      <c r="C2165" s="566">
        <f t="shared" si="33"/>
        <v>2859</v>
      </c>
      <c r="D2165" s="700" t="s">
        <v>2248</v>
      </c>
      <c r="E2165" s="701" t="s">
        <v>10040</v>
      </c>
      <c r="F2165" s="566">
        <v>2</v>
      </c>
      <c r="G2165" s="662">
        <v>35259.93362459448</v>
      </c>
      <c r="H2165" s="662">
        <v>36578.516205823922</v>
      </c>
      <c r="I2165" s="662">
        <v>37897.156084345384</v>
      </c>
      <c r="J2165" s="662">
        <v>39285.182983501647</v>
      </c>
      <c r="K2165" s="566" t="s">
        <v>1487</v>
      </c>
      <c r="L2165"/>
      <c r="M2165" s="540"/>
      <c r="O2165" s="540"/>
    </row>
    <row r="2166" spans="1:15">
      <c r="A2166" s="565">
        <v>2860</v>
      </c>
      <c r="B2166" s="696" t="s">
        <v>7572</v>
      </c>
      <c r="C2166" s="566">
        <f t="shared" si="33"/>
        <v>2860</v>
      </c>
      <c r="D2166" s="700" t="s">
        <v>2248</v>
      </c>
      <c r="E2166" s="701" t="s">
        <v>10041</v>
      </c>
      <c r="F2166" s="566">
        <v>2</v>
      </c>
      <c r="G2166" s="662">
        <v>0</v>
      </c>
      <c r="H2166" s="662">
        <v>0</v>
      </c>
      <c r="I2166" s="662">
        <v>31721.254195895632</v>
      </c>
      <c r="J2166" s="662">
        <v>0</v>
      </c>
      <c r="K2166" s="566" t="s">
        <v>4218</v>
      </c>
      <c r="L2166"/>
      <c r="M2166" s="540"/>
      <c r="O2166" s="540"/>
    </row>
    <row r="2167" spans="1:15">
      <c r="A2167" s="565">
        <v>2861</v>
      </c>
      <c r="B2167" s="696" t="s">
        <v>7573</v>
      </c>
      <c r="C2167" s="566">
        <f t="shared" si="33"/>
        <v>2861</v>
      </c>
      <c r="D2167" s="700" t="s">
        <v>2248</v>
      </c>
      <c r="E2167" s="701" t="s">
        <v>10042</v>
      </c>
      <c r="F2167" s="566">
        <v>2</v>
      </c>
      <c r="G2167" s="662">
        <v>25585.281121752298</v>
      </c>
      <c r="H2167" s="662">
        <v>26499.17292945271</v>
      </c>
      <c r="I2167" s="662">
        <v>27413.064737153119</v>
      </c>
      <c r="J2167" s="662">
        <v>28375.028972857333</v>
      </c>
      <c r="K2167" s="566" t="s">
        <v>1488</v>
      </c>
      <c r="L2167"/>
      <c r="M2167" s="540"/>
      <c r="O2167" s="540"/>
    </row>
    <row r="2168" spans="1:15">
      <c r="A2168" s="565">
        <v>2862</v>
      </c>
      <c r="B2168" s="696" t="s">
        <v>7574</v>
      </c>
      <c r="C2168" s="566">
        <f t="shared" si="33"/>
        <v>2862</v>
      </c>
      <c r="D2168" s="700" t="s">
        <v>2248</v>
      </c>
      <c r="E2168" s="701" t="s">
        <v>10043</v>
      </c>
      <c r="F2168" s="566">
        <v>1</v>
      </c>
      <c r="G2168" s="662">
        <v>0</v>
      </c>
      <c r="H2168" s="662">
        <v>0</v>
      </c>
      <c r="I2168" s="662">
        <v>24267.187054787744</v>
      </c>
      <c r="J2168" s="662">
        <v>25012.498774729025</v>
      </c>
      <c r="K2168" s="566" t="s">
        <v>4219</v>
      </c>
      <c r="L2168"/>
      <c r="M2168" s="540"/>
      <c r="O2168" s="540"/>
    </row>
    <row r="2169" spans="1:15">
      <c r="A2169" s="565">
        <v>2863</v>
      </c>
      <c r="B2169" s="696" t="s">
        <v>7575</v>
      </c>
      <c r="C2169" s="566">
        <f t="shared" si="33"/>
        <v>2863</v>
      </c>
      <c r="D2169" s="700" t="s">
        <v>2248</v>
      </c>
      <c r="E2169" s="701" t="s">
        <v>10044</v>
      </c>
      <c r="F2169" s="566">
        <v>1</v>
      </c>
      <c r="G2169" s="662">
        <v>0</v>
      </c>
      <c r="H2169" s="662">
        <v>0</v>
      </c>
      <c r="I2169" s="662">
        <v>23070.265283083492</v>
      </c>
      <c r="J2169" s="662">
        <v>23775.075088837391</v>
      </c>
      <c r="K2169" s="566" t="s">
        <v>4220</v>
      </c>
      <c r="L2169"/>
      <c r="M2169" s="540"/>
      <c r="O2169" s="540"/>
    </row>
    <row r="2170" spans="1:15">
      <c r="A2170" s="565">
        <v>2864</v>
      </c>
      <c r="B2170" s="696" t="s">
        <v>7576</v>
      </c>
      <c r="C2170" s="566">
        <f t="shared" si="33"/>
        <v>2864</v>
      </c>
      <c r="D2170" s="700" t="s">
        <v>2248</v>
      </c>
      <c r="E2170" s="701" t="s">
        <v>10045</v>
      </c>
      <c r="F2170" s="566">
        <v>1</v>
      </c>
      <c r="G2170" s="662">
        <v>0</v>
      </c>
      <c r="H2170" s="662">
        <v>0</v>
      </c>
      <c r="I2170" s="662">
        <v>18597.989102014944</v>
      </c>
      <c r="J2170" s="662">
        <v>19151.416097343412</v>
      </c>
      <c r="K2170" s="566" t="s">
        <v>4221</v>
      </c>
      <c r="L2170"/>
      <c r="M2170" s="540"/>
      <c r="O2170" s="540"/>
    </row>
    <row r="2171" spans="1:15">
      <c r="A2171" s="565">
        <v>2865</v>
      </c>
      <c r="B2171" s="696" t="s">
        <v>7577</v>
      </c>
      <c r="C2171" s="566">
        <f t="shared" si="33"/>
        <v>2865</v>
      </c>
      <c r="D2171" s="700" t="s">
        <v>2248</v>
      </c>
      <c r="E2171" s="701" t="s">
        <v>10046</v>
      </c>
      <c r="F2171" s="566">
        <v>1</v>
      </c>
      <c r="G2171" s="662">
        <v>0</v>
      </c>
      <c r="H2171" s="662">
        <v>16345.659114466343</v>
      </c>
      <c r="I2171" s="662">
        <v>16814.044839816914</v>
      </c>
      <c r="J2171" s="662">
        <v>17307.08020863932</v>
      </c>
      <c r="K2171" s="566" t="s">
        <v>4223</v>
      </c>
      <c r="L2171"/>
      <c r="M2171" s="540"/>
      <c r="O2171" s="540"/>
    </row>
    <row r="2172" spans="1:15">
      <c r="A2172" s="565">
        <v>2866</v>
      </c>
      <c r="B2172" s="696" t="s">
        <v>7578</v>
      </c>
      <c r="C2172" s="566">
        <f t="shared" si="33"/>
        <v>2866</v>
      </c>
      <c r="D2172" s="700" t="s">
        <v>2248</v>
      </c>
      <c r="E2172" s="701" t="s">
        <v>10047</v>
      </c>
      <c r="F2172" s="566">
        <v>1</v>
      </c>
      <c r="G2172" s="662">
        <v>0</v>
      </c>
      <c r="H2172" s="662">
        <v>0</v>
      </c>
      <c r="I2172" s="662">
        <v>17527.431368591628</v>
      </c>
      <c r="J2172" s="662">
        <v>18044.606388262346</v>
      </c>
      <c r="K2172" s="566" t="s">
        <v>4222</v>
      </c>
      <c r="L2172"/>
      <c r="M2172" s="540"/>
      <c r="O2172" s="540"/>
    </row>
    <row r="2173" spans="1:15">
      <c r="A2173" s="565">
        <v>2867</v>
      </c>
      <c r="B2173" s="696" t="s">
        <v>7579</v>
      </c>
      <c r="C2173" s="566">
        <f t="shared" si="33"/>
        <v>2867</v>
      </c>
      <c r="D2173" s="700" t="s">
        <v>2248</v>
      </c>
      <c r="E2173" s="701" t="s">
        <v>10048</v>
      </c>
      <c r="F2173" s="566">
        <v>1</v>
      </c>
      <c r="G2173" s="662">
        <v>0</v>
      </c>
      <c r="H2173" s="662">
        <v>0</v>
      </c>
      <c r="I2173" s="662">
        <v>18971.218672664887</v>
      </c>
      <c r="J2173" s="662">
        <v>19537.267985426359</v>
      </c>
      <c r="K2173" s="566" t="s">
        <v>4226</v>
      </c>
      <c r="L2173"/>
      <c r="M2173" s="540"/>
      <c r="O2173" s="540"/>
    </row>
    <row r="2174" spans="1:15">
      <c r="A2174" s="565">
        <v>2868</v>
      </c>
      <c r="B2174" s="696" t="s">
        <v>7580</v>
      </c>
      <c r="C2174" s="566">
        <f t="shared" si="33"/>
        <v>2868</v>
      </c>
      <c r="D2174" s="700" t="s">
        <v>2248</v>
      </c>
      <c r="E2174" s="701" t="s">
        <v>10049</v>
      </c>
      <c r="F2174" s="566">
        <v>1</v>
      </c>
      <c r="G2174" s="662">
        <v>0</v>
      </c>
      <c r="H2174" s="662">
        <v>0</v>
      </c>
      <c r="I2174" s="662">
        <v>22019.334441439609</v>
      </c>
      <c r="J2174" s="662">
        <v>22688.572261700505</v>
      </c>
      <c r="K2174" s="566" t="s">
        <v>4224</v>
      </c>
      <c r="L2174"/>
      <c r="M2174" s="540"/>
      <c r="O2174" s="540"/>
    </row>
    <row r="2175" spans="1:15">
      <c r="A2175" s="565">
        <v>2869</v>
      </c>
      <c r="B2175" s="696" t="s">
        <v>7581</v>
      </c>
      <c r="C2175" s="566">
        <f t="shared" si="33"/>
        <v>2869</v>
      </c>
      <c r="D2175" s="700" t="s">
        <v>2248</v>
      </c>
      <c r="E2175" s="701" t="s">
        <v>10050</v>
      </c>
      <c r="F2175" s="566">
        <v>1</v>
      </c>
      <c r="G2175" s="662">
        <v>0</v>
      </c>
      <c r="H2175" s="662">
        <v>0</v>
      </c>
      <c r="I2175" s="662">
        <v>20948.776708016292</v>
      </c>
      <c r="J2175" s="662">
        <v>21581.762552619435</v>
      </c>
      <c r="K2175" s="566" t="s">
        <v>4225</v>
      </c>
      <c r="L2175"/>
      <c r="M2175" s="540"/>
      <c r="O2175" s="540"/>
    </row>
    <row r="2176" spans="1:15">
      <c r="A2176" s="565">
        <v>2870</v>
      </c>
      <c r="B2176" s="696" t="s">
        <v>7582</v>
      </c>
      <c r="C2176" s="566">
        <f t="shared" si="33"/>
        <v>2870</v>
      </c>
      <c r="D2176" s="700" t="s">
        <v>2248</v>
      </c>
      <c r="E2176" s="701" t="s">
        <v>10051</v>
      </c>
      <c r="F2176" s="566">
        <v>1</v>
      </c>
      <c r="G2176" s="662">
        <v>0</v>
      </c>
      <c r="H2176" s="662">
        <v>0</v>
      </c>
      <c r="I2176" s="662">
        <v>22740.771402907656</v>
      </c>
      <c r="J2176" s="662">
        <v>23434.403870328621</v>
      </c>
      <c r="K2176" s="566" t="s">
        <v>4228</v>
      </c>
      <c r="L2176"/>
      <c r="M2176" s="540"/>
      <c r="O2176" s="540"/>
    </row>
    <row r="2177" spans="1:15">
      <c r="A2177" s="565">
        <v>2871</v>
      </c>
      <c r="B2177" s="696" t="s">
        <v>7583</v>
      </c>
      <c r="C2177" s="566">
        <f t="shared" si="33"/>
        <v>2871</v>
      </c>
      <c r="D2177" s="700" t="s">
        <v>2248</v>
      </c>
      <c r="E2177" s="701" t="s">
        <v>10052</v>
      </c>
      <c r="F2177" s="566">
        <v>1</v>
      </c>
      <c r="G2177" s="662">
        <v>0</v>
      </c>
      <c r="H2177" s="662">
        <v>0</v>
      </c>
      <c r="I2177" s="662">
        <v>24718.32943825905</v>
      </c>
      <c r="J2177" s="662">
        <v>25478.898437521701</v>
      </c>
      <c r="K2177" s="566" t="s">
        <v>4227</v>
      </c>
      <c r="L2177"/>
      <c r="M2177" s="540"/>
      <c r="O2177" s="540"/>
    </row>
    <row r="2178" spans="1:15">
      <c r="A2178" s="565">
        <v>2872</v>
      </c>
      <c r="B2178" s="696" t="s">
        <v>7584</v>
      </c>
      <c r="C2178" s="566">
        <f t="shared" si="33"/>
        <v>2872</v>
      </c>
      <c r="D2178" s="700" t="s">
        <v>2248</v>
      </c>
      <c r="E2178" s="701" t="s">
        <v>10053</v>
      </c>
      <c r="F2178" s="566">
        <v>1</v>
      </c>
      <c r="G2178" s="662">
        <v>0</v>
      </c>
      <c r="H2178" s="662">
        <v>0</v>
      </c>
      <c r="I2178" s="662">
        <v>25875.126544652579</v>
      </c>
      <c r="J2178" s="662">
        <v>26674.87997715842</v>
      </c>
      <c r="K2178" s="566" t="s">
        <v>4229</v>
      </c>
      <c r="L2178"/>
      <c r="M2178" s="540"/>
      <c r="O2178" s="540"/>
    </row>
    <row r="2179" spans="1:15">
      <c r="A2179" s="565">
        <v>2873</v>
      </c>
      <c r="B2179" s="696" t="s">
        <v>7585</v>
      </c>
      <c r="C2179" s="566">
        <f t="shared" si="33"/>
        <v>2873</v>
      </c>
      <c r="D2179" s="700" t="s">
        <v>2248</v>
      </c>
      <c r="E2179" s="701" t="s">
        <v>10054</v>
      </c>
      <c r="F2179" s="566">
        <v>1</v>
      </c>
      <c r="G2179" s="662">
        <v>0</v>
      </c>
      <c r="H2179" s="662">
        <v>0</v>
      </c>
      <c r="I2179" s="662">
        <v>20582.40806146698</v>
      </c>
      <c r="J2179" s="662">
        <v>21202.984085563603</v>
      </c>
      <c r="K2179" s="566" t="s">
        <v>4230</v>
      </c>
      <c r="L2179"/>
      <c r="M2179" s="540"/>
      <c r="O2179" s="540"/>
    </row>
    <row r="2180" spans="1:15">
      <c r="A2180" s="565">
        <v>2874</v>
      </c>
      <c r="B2180" s="696" t="s">
        <v>7586</v>
      </c>
      <c r="C2180" s="566">
        <f t="shared" si="33"/>
        <v>2874</v>
      </c>
      <c r="D2180" s="700" t="s">
        <v>2248</v>
      </c>
      <c r="E2180" s="701" t="s">
        <v>10055</v>
      </c>
      <c r="F2180" s="566">
        <v>1</v>
      </c>
      <c r="G2180" s="662">
        <v>0</v>
      </c>
      <c r="H2180" s="662">
        <v>0</v>
      </c>
      <c r="I2180" s="662">
        <v>19511.85032804366</v>
      </c>
      <c r="J2180" s="662">
        <v>20096.216875867842</v>
      </c>
      <c r="K2180" s="566" t="s">
        <v>4231</v>
      </c>
      <c r="L2180"/>
      <c r="M2180" s="540"/>
      <c r="O2180" s="540"/>
    </row>
    <row r="2181" spans="1:15">
      <c r="A2181" s="565">
        <v>2875</v>
      </c>
      <c r="B2181" s="696" t="s">
        <v>7587</v>
      </c>
      <c r="C2181" s="566">
        <f t="shared" si="33"/>
        <v>2875</v>
      </c>
      <c r="D2181" s="700" t="s">
        <v>2248</v>
      </c>
      <c r="E2181" s="701" t="s">
        <v>10056</v>
      </c>
      <c r="F2181" s="566">
        <v>1</v>
      </c>
      <c r="G2181" s="662">
        <v>0</v>
      </c>
      <c r="H2181" s="662">
        <v>0</v>
      </c>
      <c r="I2181" s="662">
        <v>21525.433473999528</v>
      </c>
      <c r="J2181" s="662">
        <v>22177.92653645368</v>
      </c>
      <c r="K2181" s="566" t="s">
        <v>4232</v>
      </c>
      <c r="L2181"/>
      <c r="M2181" s="540"/>
      <c r="O2181" s="540"/>
    </row>
    <row r="2182" spans="1:15">
      <c r="A2182" s="565">
        <v>2876</v>
      </c>
      <c r="B2182" s="696" t="s">
        <v>7588</v>
      </c>
      <c r="C2182" s="566">
        <f t="shared" si="33"/>
        <v>2876</v>
      </c>
      <c r="D2182" s="700" t="s">
        <v>2248</v>
      </c>
      <c r="E2182" s="701" t="s">
        <v>10057</v>
      </c>
      <c r="F2182" s="566">
        <v>1</v>
      </c>
      <c r="G2182" s="662">
        <v>0</v>
      </c>
      <c r="H2182" s="662">
        <v>0</v>
      </c>
      <c r="I2182" s="662">
        <v>20454.875740576219</v>
      </c>
      <c r="J2182" s="662">
        <v>21071.159326757912</v>
      </c>
      <c r="K2182" s="566" t="s">
        <v>4233</v>
      </c>
      <c r="L2182"/>
      <c r="M2182" s="540"/>
      <c r="O2182" s="540"/>
    </row>
    <row r="2183" spans="1:15">
      <c r="A2183" s="565">
        <v>2877</v>
      </c>
      <c r="B2183" s="696" t="s">
        <v>7589</v>
      </c>
      <c r="C2183" s="566">
        <f t="shared" si="33"/>
        <v>2877</v>
      </c>
      <c r="D2183" s="700" t="s">
        <v>2248</v>
      </c>
      <c r="E2183" s="701" t="s">
        <v>10058</v>
      </c>
      <c r="F2183" s="566">
        <v>1</v>
      </c>
      <c r="G2183" s="662">
        <v>0</v>
      </c>
      <c r="H2183" s="662">
        <v>18680.978576047899</v>
      </c>
      <c r="I2183" s="662">
        <v>19237.168031420628</v>
      </c>
      <c r="J2183" s="662">
        <v>19822.682062647804</v>
      </c>
      <c r="K2183" s="566" t="s">
        <v>3225</v>
      </c>
      <c r="L2183"/>
      <c r="M2183" s="540"/>
      <c r="O2183" s="540"/>
    </row>
    <row r="2184" spans="1:15">
      <c r="A2184" s="565">
        <v>2878</v>
      </c>
      <c r="B2184" s="696" t="s">
        <v>7590</v>
      </c>
      <c r="C2184" s="566">
        <f t="shared" si="33"/>
        <v>2878</v>
      </c>
      <c r="D2184" s="700" t="s">
        <v>2248</v>
      </c>
      <c r="E2184" s="701" t="s">
        <v>10059</v>
      </c>
      <c r="F2184" s="566">
        <v>1</v>
      </c>
      <c r="G2184" s="662">
        <v>0</v>
      </c>
      <c r="H2184" s="662">
        <v>19901.074539326793</v>
      </c>
      <c r="I2184" s="662">
        <v>0</v>
      </c>
      <c r="J2184" s="662">
        <v>0</v>
      </c>
      <c r="K2184" s="566" t="s">
        <v>3226</v>
      </c>
      <c r="L2184"/>
      <c r="M2184" s="540"/>
      <c r="O2184" s="540"/>
    </row>
    <row r="2185" spans="1:15">
      <c r="A2185" s="565">
        <v>2879</v>
      </c>
      <c r="B2185" s="696" t="s">
        <v>7591</v>
      </c>
      <c r="C2185" s="566">
        <f t="shared" ref="C2185:C2248" si="34">A2185</f>
        <v>2879</v>
      </c>
      <c r="D2185" s="700" t="s">
        <v>2248</v>
      </c>
      <c r="E2185" s="701" t="s">
        <v>10060</v>
      </c>
      <c r="F2185" s="566">
        <v>1</v>
      </c>
      <c r="G2185" s="662">
        <v>0</v>
      </c>
      <c r="H2185" s="662">
        <v>17806.68976041886</v>
      </c>
      <c r="I2185" s="662">
        <v>18333.299643625356</v>
      </c>
      <c r="J2185" s="662">
        <v>18887.661625430348</v>
      </c>
      <c r="K2185" s="566" t="s">
        <v>3227</v>
      </c>
      <c r="L2185"/>
      <c r="M2185" s="540"/>
      <c r="O2185" s="540"/>
    </row>
    <row r="2186" spans="1:15">
      <c r="A2186" s="565">
        <v>2880</v>
      </c>
      <c r="B2186" s="695" t="s">
        <v>7592</v>
      </c>
      <c r="C2186" s="566">
        <f t="shared" si="34"/>
        <v>2880</v>
      </c>
      <c r="D2186" s="699" t="s">
        <v>2248</v>
      </c>
      <c r="E2186" s="701" t="s">
        <v>10061</v>
      </c>
      <c r="F2186" s="567">
        <v>1</v>
      </c>
      <c r="G2186" s="662">
        <v>0</v>
      </c>
      <c r="H2186" s="662">
        <v>17983.395511801864</v>
      </c>
      <c r="I2186" s="662">
        <v>0</v>
      </c>
      <c r="J2186" s="662">
        <v>0</v>
      </c>
      <c r="K2186" s="568" t="s">
        <v>3228</v>
      </c>
      <c r="L2186"/>
      <c r="M2186" s="540"/>
      <c r="O2186" s="540"/>
    </row>
    <row r="2187" spans="1:15">
      <c r="A2187" s="565">
        <v>2881</v>
      </c>
      <c r="B2187" s="696" t="s">
        <v>7593</v>
      </c>
      <c r="C2187" s="566">
        <f t="shared" si="34"/>
        <v>2881</v>
      </c>
      <c r="D2187" s="700" t="s">
        <v>2248</v>
      </c>
      <c r="E2187" s="701" t="s">
        <v>10062</v>
      </c>
      <c r="F2187" s="566">
        <v>1</v>
      </c>
      <c r="G2187" s="662">
        <v>0</v>
      </c>
      <c r="H2187" s="662">
        <v>22521.646920379564</v>
      </c>
      <c r="I2187" s="662">
        <v>0</v>
      </c>
      <c r="J2187" s="662">
        <v>0</v>
      </c>
      <c r="K2187" s="566" t="s">
        <v>3229</v>
      </c>
      <c r="L2187"/>
      <c r="M2187" s="540"/>
      <c r="O2187" s="540"/>
    </row>
    <row r="2188" spans="1:15">
      <c r="A2188" s="565">
        <v>2882</v>
      </c>
      <c r="B2188" s="696" t="s">
        <v>7594</v>
      </c>
      <c r="C2188" s="566">
        <f t="shared" si="34"/>
        <v>2882</v>
      </c>
      <c r="D2188" s="700" t="s">
        <v>2248</v>
      </c>
      <c r="E2188" s="701" t="s">
        <v>10063</v>
      </c>
      <c r="F2188" s="566">
        <v>1</v>
      </c>
      <c r="G2188" s="662">
        <v>0</v>
      </c>
      <c r="H2188" s="662">
        <v>22878.478272204466</v>
      </c>
      <c r="I2188" s="662">
        <v>23576.743172622733</v>
      </c>
      <c r="J2188" s="662">
        <v>24311.8125407076</v>
      </c>
      <c r="K2188" s="566" t="s">
        <v>3230</v>
      </c>
      <c r="L2188"/>
      <c r="M2188" s="540"/>
      <c r="O2188" s="540"/>
    </row>
    <row r="2189" spans="1:15">
      <c r="A2189" s="565">
        <v>2883</v>
      </c>
      <c r="B2189" s="695" t="s">
        <v>7595</v>
      </c>
      <c r="C2189" s="566">
        <f t="shared" si="34"/>
        <v>2883</v>
      </c>
      <c r="D2189" s="699" t="s">
        <v>2248</v>
      </c>
      <c r="E2189" s="701" t="s">
        <v>10064</v>
      </c>
      <c r="F2189" s="567">
        <v>1</v>
      </c>
      <c r="G2189" s="662">
        <v>0</v>
      </c>
      <c r="H2189" s="662">
        <v>24790.485884221442</v>
      </c>
      <c r="I2189" s="662">
        <v>0</v>
      </c>
      <c r="J2189" s="662">
        <v>0</v>
      </c>
      <c r="K2189" s="568" t="s">
        <v>3231</v>
      </c>
      <c r="L2189"/>
      <c r="M2189" s="540"/>
      <c r="O2189" s="540"/>
    </row>
    <row r="2190" spans="1:15">
      <c r="A2190" s="565">
        <v>2884</v>
      </c>
      <c r="B2190" s="696" t="s">
        <v>7596</v>
      </c>
      <c r="C2190" s="566">
        <f t="shared" si="34"/>
        <v>2884</v>
      </c>
      <c r="D2190" s="700" t="s">
        <v>2248</v>
      </c>
      <c r="E2190" s="701" t="s">
        <v>10065</v>
      </c>
      <c r="F2190" s="566">
        <v>1</v>
      </c>
      <c r="G2190" s="662">
        <v>20524.879277059259</v>
      </c>
      <c r="H2190" s="662">
        <v>0</v>
      </c>
      <c r="I2190" s="662">
        <v>0</v>
      </c>
      <c r="J2190" s="662">
        <v>0</v>
      </c>
      <c r="K2190" s="566" t="s">
        <v>5371</v>
      </c>
      <c r="L2190"/>
      <c r="M2190" s="540"/>
      <c r="O2190" s="540"/>
    </row>
    <row r="2191" spans="1:15">
      <c r="A2191" s="565">
        <v>2885</v>
      </c>
      <c r="B2191" s="696" t="s">
        <v>7597</v>
      </c>
      <c r="C2191" s="566">
        <f t="shared" si="34"/>
        <v>2885</v>
      </c>
      <c r="D2191" s="700" t="s">
        <v>2248</v>
      </c>
      <c r="E2191" s="701" t="s">
        <v>10066</v>
      </c>
      <c r="F2191" s="566">
        <v>2</v>
      </c>
      <c r="G2191" s="662">
        <v>0</v>
      </c>
      <c r="H2191" s="662">
        <v>0</v>
      </c>
      <c r="I2191" s="662">
        <v>0</v>
      </c>
      <c r="J2191" s="662">
        <v>17821.296736503173</v>
      </c>
      <c r="K2191" s="566" t="s">
        <v>4976</v>
      </c>
      <c r="L2191"/>
      <c r="M2191" s="540"/>
      <c r="O2191" s="540"/>
    </row>
    <row r="2192" spans="1:15">
      <c r="A2192" s="565">
        <v>2886</v>
      </c>
      <c r="B2192" s="696" t="s">
        <v>7598</v>
      </c>
      <c r="C2192" s="566">
        <f t="shared" si="34"/>
        <v>2886</v>
      </c>
      <c r="D2192" s="700" t="s">
        <v>2248</v>
      </c>
      <c r="E2192" s="701" t="s">
        <v>10067</v>
      </c>
      <c r="F2192" s="566">
        <v>2</v>
      </c>
      <c r="G2192" s="662">
        <v>0</v>
      </c>
      <c r="H2192" s="662">
        <v>0</v>
      </c>
      <c r="I2192" s="662">
        <v>0</v>
      </c>
      <c r="J2192" s="662">
        <v>16431.499475391687</v>
      </c>
      <c r="K2192" s="566" t="s">
        <v>4977</v>
      </c>
      <c r="L2192"/>
      <c r="M2192" s="540"/>
      <c r="O2192" s="540"/>
    </row>
    <row r="2193" spans="1:15">
      <c r="A2193" s="565">
        <v>2887</v>
      </c>
      <c r="B2193" s="696" t="s">
        <v>7599</v>
      </c>
      <c r="C2193" s="566">
        <f t="shared" si="34"/>
        <v>2887</v>
      </c>
      <c r="D2193" s="700" t="s">
        <v>2248</v>
      </c>
      <c r="E2193" s="701" t="s">
        <v>10068</v>
      </c>
      <c r="F2193" s="566">
        <v>1</v>
      </c>
      <c r="G2193" s="662">
        <v>0</v>
      </c>
      <c r="H2193" s="662">
        <v>0</v>
      </c>
      <c r="I2193" s="662">
        <v>34442.021090800044</v>
      </c>
      <c r="J2193" s="662">
        <v>35650.730037314395</v>
      </c>
      <c r="K2193" s="566" t="s">
        <v>4234</v>
      </c>
      <c r="L2193"/>
      <c r="M2193" s="540"/>
      <c r="O2193" s="540"/>
    </row>
    <row r="2194" spans="1:15">
      <c r="A2194" s="565">
        <v>2888</v>
      </c>
      <c r="B2194" s="696" t="s">
        <v>7600</v>
      </c>
      <c r="C2194" s="566">
        <f t="shared" si="34"/>
        <v>2888</v>
      </c>
      <c r="D2194" s="700" t="s">
        <v>2248</v>
      </c>
      <c r="E2194" s="701" t="s">
        <v>10069</v>
      </c>
      <c r="F2194" s="566">
        <v>1</v>
      </c>
      <c r="G2194" s="662">
        <v>0</v>
      </c>
      <c r="H2194" s="662">
        <v>0</v>
      </c>
      <c r="I2194" s="662">
        <v>36830.458831944539</v>
      </c>
      <c r="J2194" s="662">
        <v>38128.950790605842</v>
      </c>
      <c r="K2194" s="566" t="s">
        <v>4235</v>
      </c>
      <c r="L2194"/>
      <c r="M2194" s="540"/>
      <c r="O2194" s="540"/>
    </row>
    <row r="2195" spans="1:15">
      <c r="A2195" s="565">
        <v>2889</v>
      </c>
      <c r="B2195" s="696" t="s">
        <v>7601</v>
      </c>
      <c r="C2195" s="566">
        <f t="shared" si="34"/>
        <v>2889</v>
      </c>
      <c r="D2195" s="700" t="s">
        <v>2248</v>
      </c>
      <c r="E2195" s="701" t="s">
        <v>10070</v>
      </c>
      <c r="F2195" s="566">
        <v>1</v>
      </c>
      <c r="G2195" s="662">
        <v>0</v>
      </c>
      <c r="H2195" s="662">
        <v>0</v>
      </c>
      <c r="I2195" s="662">
        <v>30061.681604145084</v>
      </c>
      <c r="J2195" s="662">
        <v>31105.689263475939</v>
      </c>
      <c r="K2195" s="566" t="s">
        <v>4236</v>
      </c>
      <c r="L2195"/>
      <c r="M2195" s="540"/>
      <c r="O2195" s="540"/>
    </row>
    <row r="2196" spans="1:15">
      <c r="A2196" s="565">
        <v>2890</v>
      </c>
      <c r="B2196" s="696" t="s">
        <v>7602</v>
      </c>
      <c r="C2196" s="566">
        <f t="shared" si="34"/>
        <v>2890</v>
      </c>
      <c r="D2196" s="700" t="s">
        <v>2248</v>
      </c>
      <c r="E2196" s="701" t="s">
        <v>10071</v>
      </c>
      <c r="F2196" s="566">
        <v>1</v>
      </c>
      <c r="G2196" s="662">
        <v>0</v>
      </c>
      <c r="H2196" s="662">
        <v>0</v>
      </c>
      <c r="I2196" s="662">
        <v>32450.119345289579</v>
      </c>
      <c r="J2196" s="662">
        <v>33583.955754420036</v>
      </c>
      <c r="K2196" s="566" t="s">
        <v>4237</v>
      </c>
      <c r="L2196"/>
      <c r="M2196" s="540"/>
      <c r="O2196" s="540"/>
    </row>
    <row r="2197" spans="1:15">
      <c r="A2197" s="565">
        <v>2891</v>
      </c>
      <c r="B2197" s="696" t="s">
        <v>7603</v>
      </c>
      <c r="C2197" s="566">
        <f t="shared" si="34"/>
        <v>2891</v>
      </c>
      <c r="D2197" s="700" t="s">
        <v>2248</v>
      </c>
      <c r="E2197" s="701" t="s">
        <v>10072</v>
      </c>
      <c r="F2197" s="566">
        <v>1</v>
      </c>
      <c r="G2197" s="662">
        <v>0</v>
      </c>
      <c r="H2197" s="662">
        <v>0</v>
      </c>
      <c r="I2197" s="662">
        <v>0</v>
      </c>
      <c r="J2197" s="662">
        <v>29383.616168747682</v>
      </c>
      <c r="K2197" s="566" t="s">
        <v>4978</v>
      </c>
      <c r="L2197"/>
      <c r="M2197" s="540"/>
      <c r="O2197" s="540"/>
    </row>
    <row r="2198" spans="1:15">
      <c r="A2198" s="565">
        <v>2892</v>
      </c>
      <c r="B2198" s="696" t="s">
        <v>7604</v>
      </c>
      <c r="C2198" s="566">
        <f t="shared" si="34"/>
        <v>2892</v>
      </c>
      <c r="D2198" s="700" t="s">
        <v>2248</v>
      </c>
      <c r="E2198" s="701" t="s">
        <v>10073</v>
      </c>
      <c r="F2198" s="566">
        <v>1</v>
      </c>
      <c r="G2198" s="662">
        <v>34924.347829312544</v>
      </c>
      <c r="H2198" s="662">
        <v>35730.48610050563</v>
      </c>
      <c r="I2198" s="662">
        <v>36579.048024058022</v>
      </c>
      <c r="J2198" s="662">
        <v>37472.255509136536</v>
      </c>
      <c r="K2198" s="566" t="s">
        <v>3232</v>
      </c>
      <c r="L2198"/>
      <c r="M2198" s="540"/>
      <c r="O2198" s="540"/>
    </row>
    <row r="2199" spans="1:15">
      <c r="A2199" s="565">
        <v>2893</v>
      </c>
      <c r="B2199" s="696" t="s">
        <v>7605</v>
      </c>
      <c r="C2199" s="566">
        <f t="shared" si="34"/>
        <v>2893</v>
      </c>
      <c r="D2199" s="700" t="s">
        <v>2248</v>
      </c>
      <c r="E2199" s="701" t="s">
        <v>10074</v>
      </c>
      <c r="F2199" s="566">
        <v>2</v>
      </c>
      <c r="G2199" s="662">
        <v>30270.380846723692</v>
      </c>
      <c r="H2199" s="662">
        <v>31471.218435037485</v>
      </c>
      <c r="I2199" s="662">
        <v>32735.258001683578</v>
      </c>
      <c r="J2199" s="662">
        <v>34065.856695626506</v>
      </c>
      <c r="K2199" s="566" t="s">
        <v>1489</v>
      </c>
      <c r="L2199"/>
      <c r="M2199" s="540"/>
      <c r="O2199" s="540"/>
    </row>
    <row r="2200" spans="1:15">
      <c r="A2200" s="565">
        <v>2894</v>
      </c>
      <c r="B2200" s="695" t="s">
        <v>7606</v>
      </c>
      <c r="C2200" s="566">
        <f t="shared" si="34"/>
        <v>2894</v>
      </c>
      <c r="D2200" s="699" t="s">
        <v>2248</v>
      </c>
      <c r="E2200" s="701" t="s">
        <v>10075</v>
      </c>
      <c r="F2200" s="567">
        <v>2</v>
      </c>
      <c r="G2200" s="662">
        <v>29622.476522948702</v>
      </c>
      <c r="H2200" s="662">
        <v>30793.683622575521</v>
      </c>
      <c r="I2200" s="662">
        <v>32026.487107551602</v>
      </c>
      <c r="J2200" s="662">
        <v>33324.244126841491</v>
      </c>
      <c r="K2200" s="568" t="s">
        <v>1490</v>
      </c>
      <c r="L2200"/>
      <c r="M2200" s="540"/>
      <c r="O2200" s="540"/>
    </row>
    <row r="2201" spans="1:15">
      <c r="A2201" s="565">
        <v>2895</v>
      </c>
      <c r="B2201" s="695" t="s">
        <v>7607</v>
      </c>
      <c r="C2201" s="566">
        <f t="shared" si="34"/>
        <v>2895</v>
      </c>
      <c r="D2201" s="699" t="s">
        <v>2248</v>
      </c>
      <c r="E2201" s="701" t="s">
        <v>10076</v>
      </c>
      <c r="F2201" s="567">
        <v>2</v>
      </c>
      <c r="G2201" s="662">
        <v>26706.311659662562</v>
      </c>
      <c r="H2201" s="662">
        <v>27744.059924365974</v>
      </c>
      <c r="I2201" s="662">
        <v>28836.398350492658</v>
      </c>
      <c r="J2201" s="662">
        <v>29986.246198011791</v>
      </c>
      <c r="K2201" s="568" t="s">
        <v>1491</v>
      </c>
      <c r="L2201"/>
      <c r="M2201" s="540"/>
      <c r="O2201" s="540"/>
    </row>
    <row r="2202" spans="1:15">
      <c r="A2202" s="565">
        <v>2896</v>
      </c>
      <c r="B2202" s="696" t="s">
        <v>7608</v>
      </c>
      <c r="C2202" s="566">
        <f t="shared" si="34"/>
        <v>2896</v>
      </c>
      <c r="D2202" s="700" t="s">
        <v>2248</v>
      </c>
      <c r="E2202" s="701" t="s">
        <v>10077</v>
      </c>
      <c r="F2202" s="566">
        <v>2</v>
      </c>
      <c r="G2202" s="662">
        <v>31404.249904079559</v>
      </c>
      <c r="H2202" s="662">
        <v>32657.001665511565</v>
      </c>
      <c r="I2202" s="662">
        <v>33975.68004791376</v>
      </c>
      <c r="J2202" s="662">
        <v>35363.788163249126</v>
      </c>
      <c r="K2202" s="566" t="s">
        <v>1492</v>
      </c>
      <c r="L2202"/>
      <c r="M2202" s="540"/>
      <c r="O2202" s="540"/>
    </row>
    <row r="2203" spans="1:15">
      <c r="A2203" s="565">
        <v>2897</v>
      </c>
      <c r="B2203" s="696" t="s">
        <v>7609</v>
      </c>
      <c r="C2203" s="566">
        <f t="shared" si="34"/>
        <v>2897</v>
      </c>
      <c r="D2203" s="700" t="s">
        <v>2248</v>
      </c>
      <c r="E2203" s="701" t="s">
        <v>10078</v>
      </c>
      <c r="F2203" s="566">
        <v>2</v>
      </c>
      <c r="G2203" s="662">
        <v>30756.345580304554</v>
      </c>
      <c r="H2203" s="662">
        <v>31979.466853049595</v>
      </c>
      <c r="I2203" s="662">
        <v>33266.90915378178</v>
      </c>
      <c r="J2203" s="662">
        <v>34622.126940131275</v>
      </c>
      <c r="K2203" s="566" t="s">
        <v>1493</v>
      </c>
      <c r="L2203"/>
      <c r="M2203" s="540"/>
      <c r="O2203" s="540"/>
    </row>
    <row r="2204" spans="1:15">
      <c r="A2204" s="565">
        <v>2898</v>
      </c>
      <c r="B2204" s="696" t="s">
        <v>7610</v>
      </c>
      <c r="C2204" s="566">
        <f t="shared" si="34"/>
        <v>2898</v>
      </c>
      <c r="D2204" s="700" t="s">
        <v>2248</v>
      </c>
      <c r="E2204" s="701" t="s">
        <v>10079</v>
      </c>
      <c r="F2204" s="566">
        <v>2</v>
      </c>
      <c r="G2204" s="662">
        <v>27840.751796150675</v>
      </c>
      <c r="H2204" s="662">
        <v>28930.414233972297</v>
      </c>
      <c r="I2204" s="662">
        <v>30077.440130187912</v>
      </c>
      <c r="J2204" s="662">
        <v>31284.846053432302</v>
      </c>
      <c r="K2204" s="566" t="s">
        <v>1494</v>
      </c>
      <c r="L2204"/>
      <c r="M2204" s="540"/>
      <c r="O2204" s="540"/>
    </row>
    <row r="2205" spans="1:15">
      <c r="A2205" s="565">
        <v>2899</v>
      </c>
      <c r="B2205" s="696" t="s">
        <v>7611</v>
      </c>
      <c r="C2205" s="566">
        <f t="shared" si="34"/>
        <v>2899</v>
      </c>
      <c r="D2205" s="700" t="s">
        <v>2248</v>
      </c>
      <c r="E2205" s="701" t="s">
        <v>10080</v>
      </c>
      <c r="F2205" s="566">
        <v>2</v>
      </c>
      <c r="G2205" s="662">
        <v>25087.194910856557</v>
      </c>
      <c r="H2205" s="662">
        <v>26050.842626676134</v>
      </c>
      <c r="I2205" s="662">
        <v>27065.236811626259</v>
      </c>
      <c r="J2205" s="662">
        <v>28133.004799679195</v>
      </c>
      <c r="K2205" s="566" t="s">
        <v>1495</v>
      </c>
      <c r="L2205"/>
      <c r="M2205" s="540"/>
      <c r="O2205" s="540"/>
    </row>
    <row r="2206" spans="1:15">
      <c r="A2206" s="565">
        <v>2900</v>
      </c>
      <c r="B2206" s="696" t="s">
        <v>7612</v>
      </c>
      <c r="C2206" s="566">
        <f t="shared" si="34"/>
        <v>2900</v>
      </c>
      <c r="D2206" s="700" t="s">
        <v>2248</v>
      </c>
      <c r="E2206" s="701" t="s">
        <v>10081</v>
      </c>
      <c r="F2206" s="566">
        <v>2</v>
      </c>
      <c r="G2206" s="662">
        <v>24730.820772897259</v>
      </c>
      <c r="H2206" s="662">
        <v>25678.169287222361</v>
      </c>
      <c r="I2206" s="662">
        <v>26675.388492687267</v>
      </c>
      <c r="J2206" s="662">
        <v>27725.057068931405</v>
      </c>
      <c r="K2206" s="566" t="s">
        <v>1496</v>
      </c>
      <c r="L2206"/>
      <c r="M2206" s="540"/>
      <c r="O2206" s="540"/>
    </row>
    <row r="2207" spans="1:15">
      <c r="A2207" s="565">
        <v>2901</v>
      </c>
      <c r="B2207" s="696" t="s">
        <v>7613</v>
      </c>
      <c r="C2207" s="566">
        <f t="shared" si="34"/>
        <v>2901</v>
      </c>
      <c r="D2207" s="700" t="s">
        <v>2248</v>
      </c>
      <c r="E2207" s="701" t="s">
        <v>10082</v>
      </c>
      <c r="F2207" s="566">
        <v>1</v>
      </c>
      <c r="G2207" s="662">
        <v>13713.859014047957</v>
      </c>
      <c r="H2207" s="662">
        <v>14103.038492285994</v>
      </c>
      <c r="I2207" s="662">
        <v>0</v>
      </c>
      <c r="J2207" s="662">
        <v>0</v>
      </c>
      <c r="K2207" s="566" t="s">
        <v>1497</v>
      </c>
      <c r="L2207"/>
      <c r="M2207" s="540"/>
      <c r="O2207" s="540"/>
    </row>
    <row r="2208" spans="1:15">
      <c r="A2208" s="565">
        <v>2902</v>
      </c>
      <c r="B2208" s="696" t="s">
        <v>7614</v>
      </c>
      <c r="C2208" s="566">
        <f t="shared" si="34"/>
        <v>2902</v>
      </c>
      <c r="D2208" s="700" t="s">
        <v>2248</v>
      </c>
      <c r="E2208" s="701" t="s">
        <v>10083</v>
      </c>
      <c r="F2208" s="566">
        <v>1</v>
      </c>
      <c r="G2208" s="662">
        <v>0</v>
      </c>
      <c r="H2208" s="662">
        <v>14542.492432675645</v>
      </c>
      <c r="I2208" s="662">
        <v>14936.275926961142</v>
      </c>
      <c r="J2208" s="662">
        <v>15350.797510921295</v>
      </c>
      <c r="K2208" s="566" t="s">
        <v>3233</v>
      </c>
      <c r="L2208"/>
      <c r="M2208" s="540"/>
      <c r="O2208" s="540"/>
    </row>
    <row r="2209" spans="1:15">
      <c r="A2209" s="565">
        <v>2903</v>
      </c>
      <c r="B2209" s="696" t="s">
        <v>7615</v>
      </c>
      <c r="C2209" s="566">
        <f t="shared" si="34"/>
        <v>2903</v>
      </c>
      <c r="D2209" s="700" t="s">
        <v>2248</v>
      </c>
      <c r="E2209" s="701" t="s">
        <v>10084</v>
      </c>
      <c r="F2209" s="566">
        <v>1</v>
      </c>
      <c r="G2209" s="662">
        <v>0</v>
      </c>
      <c r="H2209" s="662">
        <v>14500.588905495262</v>
      </c>
      <c r="I2209" s="662">
        <v>0</v>
      </c>
      <c r="J2209" s="662">
        <v>0</v>
      </c>
      <c r="K2209" s="566" t="s">
        <v>3234</v>
      </c>
      <c r="L2209"/>
      <c r="M2209" s="540"/>
      <c r="O2209" s="540"/>
    </row>
    <row r="2210" spans="1:15">
      <c r="A2210" s="565">
        <v>2904</v>
      </c>
      <c r="B2210" s="696" t="s">
        <v>7616</v>
      </c>
      <c r="C2210" s="566">
        <f t="shared" si="34"/>
        <v>2904</v>
      </c>
      <c r="D2210" s="700" t="s">
        <v>2248</v>
      </c>
      <c r="E2210" s="701" t="s">
        <v>10085</v>
      </c>
      <c r="F2210" s="566">
        <v>1</v>
      </c>
      <c r="G2210" s="662">
        <v>15094.257549760037</v>
      </c>
      <c r="H2210" s="662">
        <v>15528.636455107504</v>
      </c>
      <c r="I2210" s="662">
        <v>0</v>
      </c>
      <c r="J2210" s="662">
        <v>0</v>
      </c>
      <c r="K2210" s="566" t="s">
        <v>1498</v>
      </c>
      <c r="L2210"/>
      <c r="M2210" s="540"/>
      <c r="O2210" s="540"/>
    </row>
    <row r="2211" spans="1:15">
      <c r="A2211" s="565">
        <v>2905</v>
      </c>
      <c r="B2211" s="696" t="s">
        <v>7617</v>
      </c>
      <c r="C2211" s="566">
        <f t="shared" si="34"/>
        <v>2905</v>
      </c>
      <c r="D2211" s="700" t="s">
        <v>2248</v>
      </c>
      <c r="E2211" s="701" t="s">
        <v>10086</v>
      </c>
      <c r="F2211" s="566">
        <v>1</v>
      </c>
      <c r="G2211" s="662">
        <v>11739.622557842182</v>
      </c>
      <c r="H2211" s="662">
        <v>12055.698268230959</v>
      </c>
      <c r="I2211" s="662">
        <v>12388.348436390594</v>
      </c>
      <c r="J2211" s="662">
        <v>12738.533900452743</v>
      </c>
      <c r="K2211" s="566" t="s">
        <v>1499</v>
      </c>
      <c r="L2211"/>
      <c r="M2211" s="540"/>
      <c r="O2211" s="540"/>
    </row>
    <row r="2212" spans="1:15">
      <c r="A2212" s="565">
        <v>2906</v>
      </c>
      <c r="B2212" s="696" t="s">
        <v>7618</v>
      </c>
      <c r="C2212" s="566">
        <f t="shared" si="34"/>
        <v>2906</v>
      </c>
      <c r="D2212" s="700" t="s">
        <v>2248</v>
      </c>
      <c r="E2212" s="701" t="s">
        <v>10087</v>
      </c>
      <c r="F2212" s="566">
        <v>1</v>
      </c>
      <c r="G2212" s="662">
        <v>0</v>
      </c>
      <c r="H2212" s="662">
        <v>14116.523907299401</v>
      </c>
      <c r="I2212" s="662">
        <v>14496.615458208968</v>
      </c>
      <c r="J2212" s="662">
        <v>14896.724470194458</v>
      </c>
      <c r="K2212" s="566" t="s">
        <v>3235</v>
      </c>
      <c r="L2212"/>
      <c r="M2212" s="540"/>
      <c r="O2212" s="540"/>
    </row>
    <row r="2213" spans="1:15">
      <c r="A2213" s="565">
        <v>2907</v>
      </c>
      <c r="B2213" s="696" t="s">
        <v>7619</v>
      </c>
      <c r="C2213" s="566">
        <f t="shared" si="34"/>
        <v>2907</v>
      </c>
      <c r="D2213" s="700" t="s">
        <v>2248</v>
      </c>
      <c r="E2213" s="701" t="s">
        <v>10088</v>
      </c>
      <c r="F2213" s="566">
        <v>1</v>
      </c>
      <c r="G2213" s="662">
        <v>0</v>
      </c>
      <c r="H2213" s="662">
        <v>14074.620380119015</v>
      </c>
      <c r="I2213" s="662">
        <v>0</v>
      </c>
      <c r="J2213" s="662">
        <v>0</v>
      </c>
      <c r="K2213" s="566" t="s">
        <v>3236</v>
      </c>
      <c r="L2213"/>
      <c r="M2213" s="540"/>
      <c r="O2213" s="540"/>
    </row>
    <row r="2214" spans="1:15">
      <c r="A2214" s="565">
        <v>2908</v>
      </c>
      <c r="B2214" s="695" t="s">
        <v>7620</v>
      </c>
      <c r="C2214" s="566">
        <f t="shared" si="34"/>
        <v>2908</v>
      </c>
      <c r="D2214" s="699" t="s">
        <v>2248</v>
      </c>
      <c r="E2214" s="701" t="s">
        <v>10089</v>
      </c>
      <c r="F2214" s="567">
        <v>1</v>
      </c>
      <c r="G2214" s="662">
        <v>0</v>
      </c>
      <c r="H2214" s="662">
        <v>14500.588905495262</v>
      </c>
      <c r="I2214" s="662">
        <v>0</v>
      </c>
      <c r="J2214" s="662">
        <v>0</v>
      </c>
      <c r="K2214" s="568" t="s">
        <v>3237</v>
      </c>
      <c r="L2214"/>
      <c r="M2214" s="540"/>
      <c r="O2214" s="540"/>
    </row>
    <row r="2215" spans="1:15">
      <c r="A2215" s="565">
        <v>2909</v>
      </c>
      <c r="B2215" s="696" t="s">
        <v>7621</v>
      </c>
      <c r="C2215" s="566">
        <f t="shared" si="34"/>
        <v>2909</v>
      </c>
      <c r="D2215" s="700" t="s">
        <v>2248</v>
      </c>
      <c r="E2215" s="701" t="s">
        <v>10090</v>
      </c>
      <c r="F2215" s="566">
        <v>1</v>
      </c>
      <c r="G2215" s="662">
        <v>0</v>
      </c>
      <c r="H2215" s="662">
        <v>0</v>
      </c>
      <c r="I2215" s="662">
        <v>15872.214670120635</v>
      </c>
      <c r="J2215" s="662">
        <v>16308.7554612643</v>
      </c>
      <c r="K2215" s="566" t="s">
        <v>4238</v>
      </c>
      <c r="L2215"/>
      <c r="M2215" s="540"/>
      <c r="O2215" s="540"/>
    </row>
    <row r="2216" spans="1:15">
      <c r="A2216" s="565">
        <v>2910</v>
      </c>
      <c r="B2216" s="696" t="s">
        <v>7622</v>
      </c>
      <c r="C2216" s="566">
        <f t="shared" si="34"/>
        <v>2910</v>
      </c>
      <c r="D2216" s="700" t="s">
        <v>2248</v>
      </c>
      <c r="E2216" s="701" t="s">
        <v>10091</v>
      </c>
      <c r="F2216" s="566">
        <v>1</v>
      </c>
      <c r="G2216" s="662">
        <v>0</v>
      </c>
      <c r="H2216" s="662">
        <v>25190.617924510225</v>
      </c>
      <c r="I2216" s="662">
        <v>0</v>
      </c>
      <c r="J2216" s="662">
        <v>0</v>
      </c>
      <c r="K2216" s="566" t="s">
        <v>4979</v>
      </c>
      <c r="L2216"/>
      <c r="M2216" s="540"/>
      <c r="O2216" s="540"/>
    </row>
    <row r="2217" spans="1:15">
      <c r="A2217" s="565">
        <v>2911</v>
      </c>
      <c r="B2217" s="696" t="s">
        <v>7623</v>
      </c>
      <c r="C2217" s="566">
        <f t="shared" si="34"/>
        <v>2911</v>
      </c>
      <c r="D2217" s="700" t="s">
        <v>2248</v>
      </c>
      <c r="E2217" s="701" t="s">
        <v>10092</v>
      </c>
      <c r="F2217" s="566">
        <v>2</v>
      </c>
      <c r="G2217" s="662">
        <v>17370.070740617008</v>
      </c>
      <c r="H2217" s="662">
        <v>18013.232366155684</v>
      </c>
      <c r="I2217" s="662">
        <v>18690.257407336605</v>
      </c>
      <c r="J2217" s="662">
        <v>19402.897420141275</v>
      </c>
      <c r="K2217" s="566" t="s">
        <v>1500</v>
      </c>
      <c r="L2217"/>
      <c r="M2217" s="540"/>
      <c r="O2217" s="540"/>
    </row>
    <row r="2218" spans="1:15">
      <c r="A2218" s="565">
        <v>2912</v>
      </c>
      <c r="B2218" s="696" t="s">
        <v>7624</v>
      </c>
      <c r="C2218" s="566">
        <f t="shared" si="34"/>
        <v>2912</v>
      </c>
      <c r="D2218" s="700" t="s">
        <v>2248</v>
      </c>
      <c r="E2218" s="701" t="s">
        <v>10093</v>
      </c>
      <c r="F2218" s="566">
        <v>2</v>
      </c>
      <c r="G2218" s="662">
        <v>17318.200595712824</v>
      </c>
      <c r="H2218" s="662">
        <v>17958.929504610529</v>
      </c>
      <c r="I2218" s="662">
        <v>18633.375866152026</v>
      </c>
      <c r="J2218" s="662">
        <v>19343.33989065163</v>
      </c>
      <c r="K2218" s="566" t="s">
        <v>1501</v>
      </c>
      <c r="L2218"/>
      <c r="M2218" s="540"/>
      <c r="O2218" s="540"/>
    </row>
    <row r="2219" spans="1:15">
      <c r="A2219" s="565">
        <v>2913</v>
      </c>
      <c r="B2219" s="696" t="s">
        <v>7625</v>
      </c>
      <c r="C2219" s="566">
        <f t="shared" si="34"/>
        <v>2913</v>
      </c>
      <c r="D2219" s="700" t="s">
        <v>2248</v>
      </c>
      <c r="E2219" s="701" t="s">
        <v>10094</v>
      </c>
      <c r="F2219" s="566">
        <v>1</v>
      </c>
      <c r="G2219" s="662">
        <v>9998.4047397259092</v>
      </c>
      <c r="H2219" s="662">
        <v>10236.852121962978</v>
      </c>
      <c r="I2219" s="662">
        <v>0</v>
      </c>
      <c r="J2219" s="662">
        <v>0</v>
      </c>
      <c r="K2219" s="566" t="s">
        <v>1502</v>
      </c>
      <c r="L2219"/>
      <c r="M2219" s="540"/>
      <c r="O2219" s="540"/>
    </row>
    <row r="2220" spans="1:15">
      <c r="A2220" s="565">
        <v>2914</v>
      </c>
      <c r="B2220" s="696" t="s">
        <v>7626</v>
      </c>
      <c r="C2220" s="566">
        <f t="shared" si="34"/>
        <v>2914</v>
      </c>
      <c r="D2220" s="700" t="s">
        <v>2248</v>
      </c>
      <c r="E2220" s="701" t="s">
        <v>10095</v>
      </c>
      <c r="F2220" s="566">
        <v>1</v>
      </c>
      <c r="G2220" s="662">
        <v>9551.9475287733603</v>
      </c>
      <c r="H2220" s="662">
        <v>9776.6064319506258</v>
      </c>
      <c r="I2220" s="662">
        <v>0</v>
      </c>
      <c r="J2220" s="662">
        <v>0</v>
      </c>
      <c r="K2220" s="566" t="s">
        <v>1503</v>
      </c>
      <c r="L2220"/>
      <c r="M2220" s="540"/>
      <c r="O2220" s="540"/>
    </row>
    <row r="2221" spans="1:15">
      <c r="A2221" s="565">
        <v>2915</v>
      </c>
      <c r="B2221" s="696" t="s">
        <v>7627</v>
      </c>
      <c r="C2221" s="566">
        <f t="shared" si="34"/>
        <v>2915</v>
      </c>
      <c r="D2221" s="700" t="s">
        <v>2248</v>
      </c>
      <c r="E2221" s="701" t="s">
        <v>10096</v>
      </c>
      <c r="F2221" s="566">
        <v>1</v>
      </c>
      <c r="G2221" s="662">
        <v>10377.216918715958</v>
      </c>
      <c r="H2221" s="662">
        <v>10627.379324515105</v>
      </c>
      <c r="I2221" s="662">
        <v>10890.673615133102</v>
      </c>
      <c r="J2221" s="662">
        <v>11167.860057585782</v>
      </c>
      <c r="K2221" s="566" t="s">
        <v>1504</v>
      </c>
      <c r="L2221"/>
      <c r="M2221" s="540"/>
      <c r="O2221" s="540"/>
    </row>
    <row r="2222" spans="1:15">
      <c r="A2222" s="565">
        <v>2916</v>
      </c>
      <c r="B2222" s="696" t="s">
        <v>7628</v>
      </c>
      <c r="C2222" s="566">
        <f t="shared" si="34"/>
        <v>2916</v>
      </c>
      <c r="D2222" s="700" t="s">
        <v>2248</v>
      </c>
      <c r="E2222" s="701" t="s">
        <v>10097</v>
      </c>
      <c r="F2222" s="566">
        <v>1</v>
      </c>
      <c r="G2222" s="662">
        <v>9930.7597077634055</v>
      </c>
      <c r="H2222" s="662">
        <v>10167.099076911127</v>
      </c>
      <c r="I2222" s="662">
        <v>10415.879179045129</v>
      </c>
      <c r="J2222" s="662">
        <v>10677.756608406356</v>
      </c>
      <c r="K2222" s="566" t="s">
        <v>1505</v>
      </c>
      <c r="L2222"/>
      <c r="M2222" s="540"/>
      <c r="O2222" s="540"/>
    </row>
    <row r="2223" spans="1:15">
      <c r="A2223" s="565">
        <v>2917</v>
      </c>
      <c r="B2223" s="696" t="s">
        <v>7629</v>
      </c>
      <c r="C2223" s="566">
        <f t="shared" si="34"/>
        <v>2917</v>
      </c>
      <c r="D2223" s="700" t="s">
        <v>2248</v>
      </c>
      <c r="E2223" s="701" t="s">
        <v>10098</v>
      </c>
      <c r="F2223" s="566">
        <v>1</v>
      </c>
      <c r="G2223" s="662">
        <v>0</v>
      </c>
      <c r="H2223" s="662">
        <v>0</v>
      </c>
      <c r="I2223" s="662">
        <v>0</v>
      </c>
      <c r="J2223" s="662">
        <v>10696.967674905623</v>
      </c>
      <c r="K2223" s="566" t="s">
        <v>4980</v>
      </c>
      <c r="L2223"/>
      <c r="M2223" s="540"/>
      <c r="O2223" s="540"/>
    </row>
    <row r="2224" spans="1:15">
      <c r="A2224" s="565">
        <v>2918</v>
      </c>
      <c r="B2224" s="696" t="s">
        <v>7630</v>
      </c>
      <c r="C2224" s="566">
        <f t="shared" si="34"/>
        <v>2918</v>
      </c>
      <c r="D2224" s="700" t="s">
        <v>2248</v>
      </c>
      <c r="E2224" s="701" t="s">
        <v>10099</v>
      </c>
      <c r="F2224" s="566">
        <v>1</v>
      </c>
      <c r="G2224" s="662">
        <v>0</v>
      </c>
      <c r="H2224" s="662">
        <v>0</v>
      </c>
      <c r="I2224" s="662">
        <v>11012.679703119764</v>
      </c>
      <c r="J2224" s="662">
        <v>11264.846449233366</v>
      </c>
      <c r="K2224" s="566" t="s">
        <v>4981</v>
      </c>
      <c r="L2224"/>
      <c r="M2224" s="540"/>
      <c r="O2224" s="540"/>
    </row>
    <row r="2225" spans="1:15">
      <c r="A2225" s="565">
        <v>2919</v>
      </c>
      <c r="B2225" s="696" t="s">
        <v>7631</v>
      </c>
      <c r="C2225" s="566">
        <f t="shared" si="34"/>
        <v>2919</v>
      </c>
      <c r="D2225" s="700" t="s">
        <v>2248</v>
      </c>
      <c r="E2225" s="701" t="s">
        <v>10100</v>
      </c>
      <c r="F2225" s="566">
        <v>1</v>
      </c>
      <c r="G2225" s="662">
        <v>0</v>
      </c>
      <c r="H2225" s="662">
        <v>0</v>
      </c>
      <c r="I2225" s="662">
        <v>0</v>
      </c>
      <c r="J2225" s="662">
        <v>12956.042699266176</v>
      </c>
      <c r="K2225" s="566" t="s">
        <v>4982</v>
      </c>
      <c r="L2225"/>
      <c r="M2225" s="540"/>
      <c r="O2225" s="540"/>
    </row>
    <row r="2226" spans="1:15">
      <c r="A2226" s="565">
        <v>2920</v>
      </c>
      <c r="B2226" s="696" t="s">
        <v>7632</v>
      </c>
      <c r="C2226" s="566">
        <f t="shared" si="34"/>
        <v>2920</v>
      </c>
      <c r="D2226" s="700" t="s">
        <v>2248</v>
      </c>
      <c r="E2226" s="701" t="s">
        <v>10101</v>
      </c>
      <c r="F2226" s="566">
        <v>1</v>
      </c>
      <c r="G2226" s="662">
        <v>0</v>
      </c>
      <c r="H2226" s="662">
        <v>0</v>
      </c>
      <c r="I2226" s="662">
        <v>11289.38395794901</v>
      </c>
      <c r="J2226" s="662">
        <v>11555.546528672176</v>
      </c>
      <c r="K2226" s="566" t="s">
        <v>4239</v>
      </c>
      <c r="L2226"/>
      <c r="M2226" s="540"/>
      <c r="O2226" s="540"/>
    </row>
    <row r="2227" spans="1:15">
      <c r="A2227" s="565">
        <v>2921</v>
      </c>
      <c r="B2227" s="696" t="s">
        <v>7633</v>
      </c>
      <c r="C2227" s="566">
        <f t="shared" si="34"/>
        <v>2921</v>
      </c>
      <c r="D2227" s="700" t="s">
        <v>2248</v>
      </c>
      <c r="E2227" s="701" t="s">
        <v>10102</v>
      </c>
      <c r="F2227" s="566">
        <v>1</v>
      </c>
      <c r="G2227" s="662">
        <v>0</v>
      </c>
      <c r="H2227" s="662">
        <v>0</v>
      </c>
      <c r="I2227" s="662">
        <v>10104.551391862238</v>
      </c>
      <c r="J2227" s="662">
        <v>10335.672564674047</v>
      </c>
      <c r="K2227" s="566" t="s">
        <v>4241</v>
      </c>
      <c r="L2227"/>
      <c r="M2227" s="540"/>
      <c r="O2227" s="540"/>
    </row>
    <row r="2228" spans="1:15">
      <c r="A2228" s="565">
        <v>2922</v>
      </c>
      <c r="B2228" s="696" t="s">
        <v>7634</v>
      </c>
      <c r="C2228" s="566">
        <f t="shared" si="34"/>
        <v>2922</v>
      </c>
      <c r="D2228" s="700" t="s">
        <v>2248</v>
      </c>
      <c r="E2228" s="701" t="s">
        <v>10103</v>
      </c>
      <c r="F2228" s="566">
        <v>1</v>
      </c>
      <c r="G2228" s="662">
        <v>0</v>
      </c>
      <c r="H2228" s="662">
        <v>0</v>
      </c>
      <c r="I2228" s="662">
        <v>10696.967674905623</v>
      </c>
      <c r="J2228" s="662">
        <v>10945.609546673113</v>
      </c>
      <c r="K2228" s="566" t="s">
        <v>4240</v>
      </c>
      <c r="L2228"/>
      <c r="M2228" s="540"/>
      <c r="O2228" s="540"/>
    </row>
    <row r="2229" spans="1:15">
      <c r="A2229" s="565">
        <v>2923</v>
      </c>
      <c r="B2229" s="695" t="s">
        <v>7635</v>
      </c>
      <c r="C2229" s="566">
        <f t="shared" si="34"/>
        <v>2923</v>
      </c>
      <c r="D2229" s="699" t="s">
        <v>2248</v>
      </c>
      <c r="E2229" s="701" t="s">
        <v>10104</v>
      </c>
      <c r="F2229" s="567">
        <v>1</v>
      </c>
      <c r="G2229" s="662">
        <v>10763.087709736872</v>
      </c>
      <c r="H2229" s="662">
        <v>0</v>
      </c>
      <c r="I2229" s="662">
        <v>0</v>
      </c>
      <c r="J2229" s="662">
        <v>0</v>
      </c>
      <c r="K2229" s="568" t="s">
        <v>5372</v>
      </c>
      <c r="L2229"/>
      <c r="M2229" s="540"/>
      <c r="O2229" s="540"/>
    </row>
    <row r="2230" spans="1:15">
      <c r="A2230" s="565">
        <v>2924</v>
      </c>
      <c r="B2230" s="695" t="s">
        <v>7636</v>
      </c>
      <c r="C2230" s="566">
        <f t="shared" si="34"/>
        <v>2924</v>
      </c>
      <c r="D2230" s="699" t="s">
        <v>2248</v>
      </c>
      <c r="E2230" s="701" t="s">
        <v>10105</v>
      </c>
      <c r="F2230" s="567">
        <v>1</v>
      </c>
      <c r="G2230" s="662">
        <v>10316.630498784323</v>
      </c>
      <c r="H2230" s="662">
        <v>0</v>
      </c>
      <c r="I2230" s="662">
        <v>0</v>
      </c>
      <c r="J2230" s="662">
        <v>0</v>
      </c>
      <c r="K2230" s="568" t="s">
        <v>5373</v>
      </c>
      <c r="L2230"/>
      <c r="M2230" s="540"/>
      <c r="O2230" s="540"/>
    </row>
    <row r="2231" spans="1:15">
      <c r="A2231" s="565">
        <v>2925</v>
      </c>
      <c r="B2231" s="695" t="s">
        <v>7637</v>
      </c>
      <c r="C2231" s="566">
        <f t="shared" si="34"/>
        <v>2925</v>
      </c>
      <c r="D2231" s="699" t="s">
        <v>2248</v>
      </c>
      <c r="E2231" s="701" t="s">
        <v>10106</v>
      </c>
      <c r="F2231" s="567">
        <v>1</v>
      </c>
      <c r="G2231" s="662">
        <v>0</v>
      </c>
      <c r="H2231" s="662">
        <v>0</v>
      </c>
      <c r="I2231" s="662">
        <v>11787.678027798585</v>
      </c>
      <c r="J2231" s="662">
        <v>12068.56213255552</v>
      </c>
      <c r="K2231" s="568" t="s">
        <v>4242</v>
      </c>
      <c r="L2231"/>
      <c r="M2231" s="540"/>
      <c r="O2231" s="540"/>
    </row>
    <row r="2232" spans="1:15">
      <c r="A2232" s="565">
        <v>2926</v>
      </c>
      <c r="B2232" s="695" t="s">
        <v>7638</v>
      </c>
      <c r="C2232" s="566">
        <f t="shared" si="34"/>
        <v>2926</v>
      </c>
      <c r="D2232" s="699" t="s">
        <v>2248</v>
      </c>
      <c r="E2232" s="701" t="s">
        <v>10107</v>
      </c>
      <c r="F2232" s="567">
        <v>1</v>
      </c>
      <c r="G2232" s="662">
        <v>11141.899888726917</v>
      </c>
      <c r="H2232" s="662">
        <v>0</v>
      </c>
      <c r="I2232" s="662">
        <v>0</v>
      </c>
      <c r="J2232" s="662">
        <v>0</v>
      </c>
      <c r="K2232" s="568" t="s">
        <v>5374</v>
      </c>
      <c r="L2232"/>
      <c r="M2232" s="540"/>
      <c r="O2232" s="540"/>
    </row>
    <row r="2233" spans="1:15">
      <c r="A2233" s="565">
        <v>2927</v>
      </c>
      <c r="B2233" s="695" t="s">
        <v>7639</v>
      </c>
      <c r="C2233" s="566">
        <f t="shared" si="34"/>
        <v>2927</v>
      </c>
      <c r="D2233" s="699" t="s">
        <v>2248</v>
      </c>
      <c r="E2233" s="701" t="s">
        <v>10108</v>
      </c>
      <c r="F2233" s="567">
        <v>1</v>
      </c>
      <c r="G2233" s="662">
        <v>10695.442677774363</v>
      </c>
      <c r="H2233" s="662">
        <v>0</v>
      </c>
      <c r="I2233" s="662">
        <v>0</v>
      </c>
      <c r="J2233" s="662">
        <v>0</v>
      </c>
      <c r="K2233" s="568" t="s">
        <v>5375</v>
      </c>
      <c r="L2233"/>
      <c r="M2233" s="540"/>
      <c r="O2233" s="540"/>
    </row>
    <row r="2234" spans="1:15">
      <c r="A2234" s="565">
        <v>2928</v>
      </c>
      <c r="B2234" s="695" t="s">
        <v>7640</v>
      </c>
      <c r="C2234" s="566">
        <f t="shared" si="34"/>
        <v>2928</v>
      </c>
      <c r="D2234" s="699" t="s">
        <v>2248</v>
      </c>
      <c r="E2234" s="701" t="s">
        <v>10109</v>
      </c>
      <c r="F2234" s="567">
        <v>1</v>
      </c>
      <c r="G2234" s="662">
        <v>9214.0164777954396</v>
      </c>
      <c r="H2234" s="662">
        <v>9428.2044307092547</v>
      </c>
      <c r="I2234" s="662">
        <v>0</v>
      </c>
      <c r="J2234" s="662">
        <v>0</v>
      </c>
      <c r="K2234" s="568" t="s">
        <v>1506</v>
      </c>
      <c r="L2234"/>
      <c r="M2234" s="540"/>
      <c r="O2234" s="540"/>
    </row>
    <row r="2235" spans="1:15">
      <c r="A2235" s="565">
        <v>2929</v>
      </c>
      <c r="B2235" s="695" t="s">
        <v>7641</v>
      </c>
      <c r="C2235" s="566">
        <f t="shared" si="34"/>
        <v>2929</v>
      </c>
      <c r="D2235" s="699" t="s">
        <v>2248</v>
      </c>
      <c r="E2235" s="701" t="s">
        <v>10110</v>
      </c>
      <c r="F2235" s="567">
        <v>1</v>
      </c>
      <c r="G2235" s="662">
        <v>10472.214072298088</v>
      </c>
      <c r="H2235" s="662">
        <v>10725.313873385659</v>
      </c>
      <c r="I2235" s="662">
        <v>10991.718347250233</v>
      </c>
      <c r="J2235" s="662">
        <v>11272.153203315995</v>
      </c>
      <c r="K2235" s="568" t="s">
        <v>1507</v>
      </c>
      <c r="L2235"/>
      <c r="M2235" s="540"/>
      <c r="O2235" s="540"/>
    </row>
    <row r="2236" spans="1:15">
      <c r="A2236" s="565">
        <v>2930</v>
      </c>
      <c r="B2236" s="696" t="s">
        <v>7642</v>
      </c>
      <c r="C2236" s="566">
        <f t="shared" si="34"/>
        <v>2930</v>
      </c>
      <c r="D2236" s="700" t="s">
        <v>2248</v>
      </c>
      <c r="E2236" s="701" t="s">
        <v>10111</v>
      </c>
      <c r="F2236" s="566">
        <v>1</v>
      </c>
      <c r="G2236" s="662">
        <v>9660.4736887479921</v>
      </c>
      <c r="H2236" s="662">
        <v>0</v>
      </c>
      <c r="I2236" s="662">
        <v>0</v>
      </c>
      <c r="J2236" s="662">
        <v>0</v>
      </c>
      <c r="K2236" s="566" t="s">
        <v>5376</v>
      </c>
      <c r="L2236"/>
      <c r="M2236" s="540"/>
      <c r="O2236" s="540"/>
    </row>
    <row r="2237" spans="1:15">
      <c r="A2237" s="565">
        <v>2931</v>
      </c>
      <c r="B2237" s="696" t="s">
        <v>7643</v>
      </c>
      <c r="C2237" s="566">
        <f t="shared" si="34"/>
        <v>2931</v>
      </c>
      <c r="D2237" s="700" t="s">
        <v>2248</v>
      </c>
      <c r="E2237" s="701" t="s">
        <v>10112</v>
      </c>
      <c r="F2237" s="566">
        <v>1</v>
      </c>
      <c r="G2237" s="662">
        <v>10025.756861345539</v>
      </c>
      <c r="H2237" s="662">
        <v>10265.033625781683</v>
      </c>
      <c r="I2237" s="662">
        <v>0</v>
      </c>
      <c r="J2237" s="662">
        <v>0</v>
      </c>
      <c r="K2237" s="566" t="s">
        <v>1508</v>
      </c>
      <c r="L2237"/>
      <c r="M2237" s="540"/>
      <c r="O2237" s="540"/>
    </row>
    <row r="2238" spans="1:15">
      <c r="A2238" s="565">
        <v>2932</v>
      </c>
      <c r="B2238" s="696" t="s">
        <v>7644</v>
      </c>
      <c r="C2238" s="566">
        <f t="shared" si="34"/>
        <v>2932</v>
      </c>
      <c r="D2238" s="700" t="s">
        <v>2248</v>
      </c>
      <c r="E2238" s="701" t="s">
        <v>10113</v>
      </c>
      <c r="F2238" s="566">
        <v>1</v>
      </c>
      <c r="G2238" s="662">
        <v>8449.3335077844804</v>
      </c>
      <c r="H2238" s="662">
        <v>8639.8840680243593</v>
      </c>
      <c r="I2238" s="662">
        <v>0</v>
      </c>
      <c r="J2238" s="662">
        <v>0</v>
      </c>
      <c r="K2238" s="566" t="s">
        <v>1509</v>
      </c>
      <c r="L2238"/>
      <c r="M2238" s="540"/>
      <c r="O2238" s="540"/>
    </row>
    <row r="2239" spans="1:15">
      <c r="A2239" s="565">
        <v>2933</v>
      </c>
      <c r="B2239" s="696" t="s">
        <v>7645</v>
      </c>
      <c r="C2239" s="566">
        <f t="shared" si="34"/>
        <v>2933</v>
      </c>
      <c r="D2239" s="700" t="s">
        <v>2248</v>
      </c>
      <c r="E2239" s="701" t="s">
        <v>10114</v>
      </c>
      <c r="F2239" s="566">
        <v>1</v>
      </c>
      <c r="G2239" s="662">
        <v>9707.5311022871283</v>
      </c>
      <c r="H2239" s="662">
        <v>9936.9935107007677</v>
      </c>
      <c r="I2239" s="662">
        <v>0</v>
      </c>
      <c r="J2239" s="662">
        <v>0</v>
      </c>
      <c r="K2239" s="566" t="s">
        <v>1510</v>
      </c>
      <c r="L2239"/>
      <c r="M2239" s="540"/>
      <c r="O2239" s="540"/>
    </row>
    <row r="2240" spans="1:15">
      <c r="A2240" s="565">
        <v>2934</v>
      </c>
      <c r="B2240" s="696" t="s">
        <v>7646</v>
      </c>
      <c r="C2240" s="566">
        <f t="shared" si="34"/>
        <v>2934</v>
      </c>
      <c r="D2240" s="700" t="s">
        <v>2248</v>
      </c>
      <c r="E2240" s="701" t="s">
        <v>10115</v>
      </c>
      <c r="F2240" s="566">
        <v>1</v>
      </c>
      <c r="G2240" s="662">
        <v>8895.7907187370329</v>
      </c>
      <c r="H2240" s="662">
        <v>0</v>
      </c>
      <c r="I2240" s="662">
        <v>0</v>
      </c>
      <c r="J2240" s="662">
        <v>0</v>
      </c>
      <c r="K2240" s="566" t="s">
        <v>5377</v>
      </c>
      <c r="L2240"/>
      <c r="M2240" s="540"/>
      <c r="O2240" s="540"/>
    </row>
    <row r="2241" spans="1:15">
      <c r="A2241" s="565">
        <v>2935</v>
      </c>
      <c r="B2241" s="696" t="s">
        <v>7647</v>
      </c>
      <c r="C2241" s="566">
        <f t="shared" si="34"/>
        <v>2935</v>
      </c>
      <c r="D2241" s="700" t="s">
        <v>2248</v>
      </c>
      <c r="E2241" s="701" t="s">
        <v>10116</v>
      </c>
      <c r="F2241" s="566">
        <v>1</v>
      </c>
      <c r="G2241" s="662">
        <v>9261.0738913345758</v>
      </c>
      <c r="H2241" s="662">
        <v>9476.7132630967899</v>
      </c>
      <c r="I2241" s="662">
        <v>0</v>
      </c>
      <c r="J2241" s="662">
        <v>0</v>
      </c>
      <c r="K2241" s="566" t="s">
        <v>1511</v>
      </c>
      <c r="L2241"/>
      <c r="M2241" s="540"/>
      <c r="O2241" s="540"/>
    </row>
    <row r="2242" spans="1:15">
      <c r="A2242" s="565">
        <v>2936</v>
      </c>
      <c r="B2242" s="696" t="s">
        <v>7648</v>
      </c>
      <c r="C2242" s="566">
        <f t="shared" si="34"/>
        <v>2936</v>
      </c>
      <c r="D2242" s="700" t="s">
        <v>2248</v>
      </c>
      <c r="E2242" s="701" t="s">
        <v>10117</v>
      </c>
      <c r="F2242" s="566">
        <v>1</v>
      </c>
      <c r="G2242" s="662">
        <v>0</v>
      </c>
      <c r="H2242" s="662">
        <v>0</v>
      </c>
      <c r="I2242" s="662">
        <v>25330.937643474408</v>
      </c>
      <c r="J2242" s="662">
        <v>26164.081374127476</v>
      </c>
      <c r="K2242" s="566" t="s">
        <v>4243</v>
      </c>
      <c r="L2242"/>
      <c r="M2242" s="540"/>
      <c r="O2242" s="540"/>
    </row>
    <row r="2243" spans="1:15">
      <c r="A2243" s="565">
        <v>2937</v>
      </c>
      <c r="B2243" s="696" t="s">
        <v>7649</v>
      </c>
      <c r="C2243" s="566">
        <f t="shared" si="34"/>
        <v>2937</v>
      </c>
      <c r="D2243" s="700" t="s">
        <v>2248</v>
      </c>
      <c r="E2243" s="701" t="s">
        <v>10118</v>
      </c>
      <c r="F2243" s="566">
        <v>1</v>
      </c>
      <c r="G2243" s="662">
        <v>0</v>
      </c>
      <c r="H2243" s="662">
        <v>0</v>
      </c>
      <c r="I2243" s="662">
        <v>24621.334341647165</v>
      </c>
      <c r="J2243" s="662">
        <v>25428.775092509259</v>
      </c>
      <c r="K2243" s="566" t="s">
        <v>4244</v>
      </c>
      <c r="L2243"/>
      <c r="M2243" s="540"/>
      <c r="O2243" s="540"/>
    </row>
    <row r="2244" spans="1:15">
      <c r="A2244" s="565">
        <v>2938</v>
      </c>
      <c r="B2244" s="696" t="s">
        <v>7649</v>
      </c>
      <c r="C2244" s="566">
        <f t="shared" si="34"/>
        <v>2938</v>
      </c>
      <c r="D2244" s="700" t="s">
        <v>2248</v>
      </c>
      <c r="E2244" s="701" t="s">
        <v>10118</v>
      </c>
      <c r="F2244" s="566">
        <v>1</v>
      </c>
      <c r="G2244" s="662">
        <v>19939.929765534409</v>
      </c>
      <c r="H2244" s="662">
        <v>20374.294858483161</v>
      </c>
      <c r="I2244" s="662">
        <v>20831.547902403381</v>
      </c>
      <c r="J2244" s="662">
        <v>21312.849664639522</v>
      </c>
      <c r="K2244" s="566" t="s">
        <v>1512</v>
      </c>
      <c r="L2244"/>
      <c r="M2244" s="540"/>
      <c r="O2244" s="540"/>
    </row>
    <row r="2245" spans="1:15">
      <c r="A2245" s="565">
        <v>2939</v>
      </c>
      <c r="B2245" s="696" t="s">
        <v>7650</v>
      </c>
      <c r="C2245" s="566">
        <f t="shared" si="34"/>
        <v>2939</v>
      </c>
      <c r="D2245" s="700" t="s">
        <v>2248</v>
      </c>
      <c r="E2245" s="701" t="s">
        <v>10119</v>
      </c>
      <c r="F2245" s="566">
        <v>1</v>
      </c>
      <c r="G2245" s="662">
        <v>0</v>
      </c>
      <c r="H2245" s="662">
        <v>0</v>
      </c>
      <c r="I2245" s="662">
        <v>25906.552100419878</v>
      </c>
      <c r="J2245" s="662">
        <v>26760.503005189446</v>
      </c>
      <c r="K2245" s="566" t="s">
        <v>4245</v>
      </c>
      <c r="L2245"/>
      <c r="M2245" s="540"/>
      <c r="O2245" s="540"/>
    </row>
    <row r="2246" spans="1:15">
      <c r="A2246" s="565">
        <v>2940</v>
      </c>
      <c r="B2246" s="696" t="s">
        <v>7651</v>
      </c>
      <c r="C2246" s="566">
        <f t="shared" si="34"/>
        <v>2940</v>
      </c>
      <c r="D2246" s="700" t="s">
        <v>2248</v>
      </c>
      <c r="E2246" s="701" t="s">
        <v>10120</v>
      </c>
      <c r="F2246" s="566">
        <v>1</v>
      </c>
      <c r="G2246" s="662">
        <v>20926.699980665537</v>
      </c>
      <c r="H2246" s="662">
        <v>21385.351898052155</v>
      </c>
      <c r="I2246" s="662">
        <v>21868.141823550421</v>
      </c>
      <c r="J2246" s="662">
        <v>22376.349577565768</v>
      </c>
      <c r="K2246" s="566" t="s">
        <v>1513</v>
      </c>
      <c r="L2246"/>
      <c r="M2246" s="540"/>
      <c r="O2246" s="540"/>
    </row>
    <row r="2247" spans="1:15">
      <c r="A2247" s="565">
        <v>2941</v>
      </c>
      <c r="B2247" s="696" t="s">
        <v>7652</v>
      </c>
      <c r="C2247" s="566">
        <f t="shared" si="34"/>
        <v>2941</v>
      </c>
      <c r="D2247" s="700" t="s">
        <v>2248</v>
      </c>
      <c r="E2247" s="701" t="s">
        <v>10121</v>
      </c>
      <c r="F2247" s="566">
        <v>1</v>
      </c>
      <c r="G2247" s="662">
        <v>20926.699980665537</v>
      </c>
      <c r="H2247" s="662">
        <v>21385.351898052155</v>
      </c>
      <c r="I2247" s="662">
        <v>0</v>
      </c>
      <c r="J2247" s="662">
        <v>0</v>
      </c>
      <c r="K2247" s="566" t="s">
        <v>1514</v>
      </c>
      <c r="L2247"/>
      <c r="M2247" s="540"/>
      <c r="O2247" s="540"/>
    </row>
    <row r="2248" spans="1:15">
      <c r="A2248" s="565">
        <v>2942</v>
      </c>
      <c r="B2248" s="696" t="s">
        <v>7653</v>
      </c>
      <c r="C2248" s="566">
        <f t="shared" si="34"/>
        <v>2942</v>
      </c>
      <c r="D2248" s="700" t="s">
        <v>2248</v>
      </c>
      <c r="E2248" s="701" t="s">
        <v>10122</v>
      </c>
      <c r="F2248" s="566">
        <v>1</v>
      </c>
      <c r="G2248" s="662">
        <v>21957.015111266435</v>
      </c>
      <c r="H2248" s="662">
        <v>22441.025330639637</v>
      </c>
      <c r="I2248" s="662">
        <v>22950.483141795175</v>
      </c>
      <c r="J2248" s="662">
        <v>23486.787418199416</v>
      </c>
      <c r="K2248" s="566" t="s">
        <v>1515</v>
      </c>
      <c r="L2248"/>
      <c r="M2248" s="540"/>
      <c r="O2248" s="540"/>
    </row>
    <row r="2249" spans="1:15">
      <c r="A2249" s="565">
        <v>2943</v>
      </c>
      <c r="B2249" s="696" t="s">
        <v>7654</v>
      </c>
      <c r="C2249" s="566">
        <f t="shared" ref="C2249:C2312" si="35">A2249</f>
        <v>2943</v>
      </c>
      <c r="D2249" s="700" t="s">
        <v>2248</v>
      </c>
      <c r="E2249" s="701" t="s">
        <v>10123</v>
      </c>
      <c r="F2249" s="566">
        <v>1</v>
      </c>
      <c r="G2249" s="662">
        <v>21788.883354313748</v>
      </c>
      <c r="H2249" s="662">
        <v>22268.756479818247</v>
      </c>
      <c r="I2249" s="662">
        <v>0</v>
      </c>
      <c r="J2249" s="662">
        <v>0</v>
      </c>
      <c r="K2249" s="566" t="s">
        <v>1516</v>
      </c>
      <c r="L2249"/>
      <c r="M2249" s="540"/>
      <c r="O2249" s="540"/>
    </row>
    <row r="2250" spans="1:15">
      <c r="A2250" s="565">
        <v>2944</v>
      </c>
      <c r="B2250" s="696" t="s">
        <v>7655</v>
      </c>
      <c r="C2250" s="566">
        <f t="shared" si="35"/>
        <v>2944</v>
      </c>
      <c r="D2250" s="700" t="s">
        <v>2248</v>
      </c>
      <c r="E2250" s="701" t="s">
        <v>10124</v>
      </c>
      <c r="F2250" s="566">
        <v>1</v>
      </c>
      <c r="G2250" s="662">
        <v>22819.198484914632</v>
      </c>
      <c r="H2250" s="662">
        <v>23324.429912405736</v>
      </c>
      <c r="I2250" s="662">
        <v>0</v>
      </c>
      <c r="J2250" s="662">
        <v>0</v>
      </c>
      <c r="K2250" s="566" t="s">
        <v>1517</v>
      </c>
      <c r="L2250"/>
      <c r="M2250" s="540"/>
      <c r="O2250" s="540"/>
    </row>
    <row r="2251" spans="1:15">
      <c r="A2251" s="565">
        <v>2945</v>
      </c>
      <c r="B2251" s="696" t="s">
        <v>7656</v>
      </c>
      <c r="C2251" s="566">
        <f t="shared" si="35"/>
        <v>2945</v>
      </c>
      <c r="D2251" s="700" t="s">
        <v>2248</v>
      </c>
      <c r="E2251" s="701" t="s">
        <v>10125</v>
      </c>
      <c r="F2251" s="566">
        <v>1</v>
      </c>
      <c r="G2251" s="662">
        <v>22819.198484914632</v>
      </c>
      <c r="H2251" s="662">
        <v>23324.429912405736</v>
      </c>
      <c r="I2251" s="662">
        <v>0</v>
      </c>
      <c r="J2251" s="662">
        <v>0</v>
      </c>
      <c r="K2251" s="566" t="s">
        <v>1518</v>
      </c>
      <c r="L2251"/>
      <c r="M2251" s="540"/>
      <c r="O2251" s="540"/>
    </row>
    <row r="2252" spans="1:15">
      <c r="A2252" s="565">
        <v>2946</v>
      </c>
      <c r="B2252" s="696" t="s">
        <v>7657</v>
      </c>
      <c r="C2252" s="566">
        <f t="shared" si="35"/>
        <v>2946</v>
      </c>
      <c r="D2252" s="700" t="s">
        <v>2248</v>
      </c>
      <c r="E2252" s="701" t="s">
        <v>10126</v>
      </c>
      <c r="F2252" s="566">
        <v>1</v>
      </c>
      <c r="G2252" s="662">
        <v>23849.513615515527</v>
      </c>
      <c r="H2252" s="662">
        <v>24380.103344993215</v>
      </c>
      <c r="I2252" s="662">
        <v>0</v>
      </c>
      <c r="J2252" s="662">
        <v>0</v>
      </c>
      <c r="K2252" s="566" t="s">
        <v>1519</v>
      </c>
      <c r="L2252"/>
      <c r="M2252" s="540"/>
      <c r="O2252" s="540"/>
    </row>
    <row r="2253" spans="1:15">
      <c r="A2253" s="565">
        <v>2947</v>
      </c>
      <c r="B2253" s="696" t="s">
        <v>7658</v>
      </c>
      <c r="C2253" s="566">
        <f t="shared" si="35"/>
        <v>2947</v>
      </c>
      <c r="D2253" s="700" t="s">
        <v>2248</v>
      </c>
      <c r="E2253" s="701" t="s">
        <v>10127</v>
      </c>
      <c r="F2253" s="566">
        <v>1</v>
      </c>
      <c r="G2253" s="662">
        <v>0</v>
      </c>
      <c r="H2253" s="662">
        <v>21799.895517539062</v>
      </c>
      <c r="I2253" s="662">
        <v>0</v>
      </c>
      <c r="J2253" s="662">
        <v>0</v>
      </c>
      <c r="K2253" s="566" t="s">
        <v>4983</v>
      </c>
      <c r="L2253"/>
      <c r="M2253" s="540"/>
      <c r="O2253" s="540"/>
    </row>
    <row r="2254" spans="1:15">
      <c r="A2254" s="565">
        <v>2948</v>
      </c>
      <c r="B2254" s="696" t="s">
        <v>7659</v>
      </c>
      <c r="C2254" s="566">
        <f t="shared" si="35"/>
        <v>2948</v>
      </c>
      <c r="D2254" s="700" t="s">
        <v>2248</v>
      </c>
      <c r="E2254" s="701" t="s">
        <v>10128</v>
      </c>
      <c r="F2254" s="566">
        <v>1</v>
      </c>
      <c r="G2254" s="662">
        <v>0</v>
      </c>
      <c r="H2254" s="662">
        <v>22605.490507899714</v>
      </c>
      <c r="I2254" s="662">
        <v>0</v>
      </c>
      <c r="J2254" s="662">
        <v>0</v>
      </c>
      <c r="K2254" s="566" t="s">
        <v>4984</v>
      </c>
      <c r="L2254"/>
      <c r="M2254" s="540"/>
      <c r="O2254" s="540"/>
    </row>
    <row r="2255" spans="1:15">
      <c r="A2255" s="565">
        <v>2949</v>
      </c>
      <c r="B2255" s="696" t="s">
        <v>7660</v>
      </c>
      <c r="C2255" s="566">
        <f t="shared" si="35"/>
        <v>2949</v>
      </c>
      <c r="D2255" s="700" t="s">
        <v>2248</v>
      </c>
      <c r="E2255" s="701" t="s">
        <v>10129</v>
      </c>
      <c r="F2255" s="566">
        <v>1</v>
      </c>
      <c r="G2255" s="662">
        <v>0</v>
      </c>
      <c r="H2255" s="662">
        <v>22417.925984206082</v>
      </c>
      <c r="I2255" s="662">
        <v>0</v>
      </c>
      <c r="J2255" s="662">
        <v>0</v>
      </c>
      <c r="K2255" s="566" t="s">
        <v>4985</v>
      </c>
      <c r="L2255"/>
      <c r="M2255" s="540"/>
      <c r="O2255" s="540"/>
    </row>
    <row r="2256" spans="1:15">
      <c r="A2256" s="565">
        <v>2950</v>
      </c>
      <c r="B2256" s="696" t="s">
        <v>7661</v>
      </c>
      <c r="C2256" s="566">
        <f t="shared" si="35"/>
        <v>2950</v>
      </c>
      <c r="D2256" s="700" t="s">
        <v>2248</v>
      </c>
      <c r="E2256" s="701" t="s">
        <v>10130</v>
      </c>
      <c r="F2256" s="566">
        <v>1</v>
      </c>
      <c r="G2256" s="662">
        <v>0</v>
      </c>
      <c r="H2256" s="662">
        <v>23223.520974566734</v>
      </c>
      <c r="I2256" s="662">
        <v>0</v>
      </c>
      <c r="J2256" s="662">
        <v>0</v>
      </c>
      <c r="K2256" s="566" t="s">
        <v>4986</v>
      </c>
      <c r="L2256"/>
      <c r="M2256" s="540"/>
      <c r="O2256" s="540"/>
    </row>
    <row r="2257" spans="1:15">
      <c r="A2257" s="565">
        <v>2951</v>
      </c>
      <c r="B2257" s="696" t="s">
        <v>7662</v>
      </c>
      <c r="C2257" s="566">
        <f t="shared" si="35"/>
        <v>2951</v>
      </c>
      <c r="D2257" s="700" t="s">
        <v>2248</v>
      </c>
      <c r="E2257" s="701" t="s">
        <v>10131</v>
      </c>
      <c r="F2257" s="566">
        <v>1</v>
      </c>
      <c r="G2257" s="662">
        <v>22798.454645916667</v>
      </c>
      <c r="H2257" s="662">
        <v>23581.54332623411</v>
      </c>
      <c r="I2257" s="662">
        <v>0</v>
      </c>
      <c r="J2257" s="662">
        <v>0</v>
      </c>
      <c r="K2257" s="566" t="s">
        <v>1520</v>
      </c>
      <c r="L2257"/>
      <c r="M2257" s="540"/>
      <c r="O2257" s="540"/>
    </row>
    <row r="2258" spans="1:15">
      <c r="A2258" s="565">
        <v>2952</v>
      </c>
      <c r="B2258" s="696" t="s">
        <v>7663</v>
      </c>
      <c r="C2258" s="566">
        <f t="shared" si="35"/>
        <v>2952</v>
      </c>
      <c r="D2258" s="700" t="s">
        <v>2248</v>
      </c>
      <c r="E2258" s="701" t="s">
        <v>10132</v>
      </c>
      <c r="F2258" s="566">
        <v>1</v>
      </c>
      <c r="G2258" s="662">
        <v>0</v>
      </c>
      <c r="H2258" s="662">
        <v>26079.089195099725</v>
      </c>
      <c r="I2258" s="662">
        <v>0</v>
      </c>
      <c r="J2258" s="662">
        <v>0</v>
      </c>
      <c r="K2258" s="566" t="s">
        <v>4987</v>
      </c>
      <c r="L2258"/>
      <c r="M2258" s="540"/>
      <c r="O2258" s="540"/>
    </row>
    <row r="2259" spans="1:15">
      <c r="A2259" s="565">
        <v>2953</v>
      </c>
      <c r="B2259" s="696" t="s">
        <v>7664</v>
      </c>
      <c r="C2259" s="566">
        <f t="shared" si="35"/>
        <v>2953</v>
      </c>
      <c r="D2259" s="700" t="s">
        <v>2248</v>
      </c>
      <c r="E2259" s="701" t="s">
        <v>10133</v>
      </c>
      <c r="F2259" s="566">
        <v>1</v>
      </c>
      <c r="G2259" s="662">
        <v>0</v>
      </c>
      <c r="H2259" s="662">
        <v>26532.236377177596</v>
      </c>
      <c r="I2259" s="662">
        <v>0</v>
      </c>
      <c r="J2259" s="662">
        <v>0</v>
      </c>
      <c r="K2259" s="566" t="s">
        <v>4988</v>
      </c>
      <c r="L2259"/>
      <c r="M2259" s="540"/>
      <c r="O2259" s="540"/>
    </row>
    <row r="2260" spans="1:15">
      <c r="A2260" s="565">
        <v>2954</v>
      </c>
      <c r="B2260" s="696" t="s">
        <v>7665</v>
      </c>
      <c r="C2260" s="566">
        <f t="shared" si="35"/>
        <v>2954</v>
      </c>
      <c r="D2260" s="700" t="s">
        <v>2248</v>
      </c>
      <c r="E2260" s="701" t="s">
        <v>10134</v>
      </c>
      <c r="F2260" s="566">
        <v>1</v>
      </c>
      <c r="G2260" s="662">
        <v>23714.708124288576</v>
      </c>
      <c r="H2260" s="662">
        <v>24532.739487312923</v>
      </c>
      <c r="I2260" s="662">
        <v>25393.87018232156</v>
      </c>
      <c r="J2260" s="662">
        <v>26300.315595537984</v>
      </c>
      <c r="K2260" s="566" t="s">
        <v>1521</v>
      </c>
      <c r="L2260"/>
      <c r="M2260" s="540"/>
      <c r="O2260" s="540"/>
    </row>
    <row r="2261" spans="1:15">
      <c r="A2261" s="565">
        <v>2955</v>
      </c>
      <c r="B2261" s="696" t="s">
        <v>7666</v>
      </c>
      <c r="C2261" s="566">
        <f t="shared" si="35"/>
        <v>2955</v>
      </c>
      <c r="D2261" s="700" t="s">
        <v>2248</v>
      </c>
      <c r="E2261" s="701" t="s">
        <v>10135</v>
      </c>
      <c r="F2261" s="566">
        <v>1</v>
      </c>
      <c r="G2261" s="662">
        <v>0</v>
      </c>
      <c r="H2261" s="662">
        <v>27099.556466016264</v>
      </c>
      <c r="I2261" s="662">
        <v>0</v>
      </c>
      <c r="J2261" s="662">
        <v>0</v>
      </c>
      <c r="K2261" s="566" t="s">
        <v>4989</v>
      </c>
      <c r="L2261"/>
      <c r="M2261" s="540"/>
      <c r="O2261" s="540"/>
    </row>
    <row r="2262" spans="1:15">
      <c r="A2262" s="565">
        <v>2956</v>
      </c>
      <c r="B2262" s="696" t="s">
        <v>7667</v>
      </c>
      <c r="C2262" s="566">
        <f t="shared" si="35"/>
        <v>2956</v>
      </c>
      <c r="D2262" s="700" t="s">
        <v>2248</v>
      </c>
      <c r="E2262" s="701" t="s">
        <v>10136</v>
      </c>
      <c r="F2262" s="566">
        <v>1</v>
      </c>
      <c r="G2262" s="662">
        <v>0</v>
      </c>
      <c r="H2262" s="662">
        <v>27905.151456376912</v>
      </c>
      <c r="I2262" s="662">
        <v>0</v>
      </c>
      <c r="J2262" s="662">
        <v>0</v>
      </c>
      <c r="K2262" s="566" t="s">
        <v>4990</v>
      </c>
      <c r="L2262"/>
      <c r="M2262" s="540"/>
      <c r="O2262" s="540"/>
    </row>
    <row r="2263" spans="1:15">
      <c r="A2263" s="565">
        <v>2957</v>
      </c>
      <c r="B2263" s="696" t="s">
        <v>7668</v>
      </c>
      <c r="C2263" s="566">
        <f t="shared" si="35"/>
        <v>2957</v>
      </c>
      <c r="D2263" s="700" t="s">
        <v>2248</v>
      </c>
      <c r="E2263" s="701" t="s">
        <v>10137</v>
      </c>
      <c r="F2263" s="566">
        <v>1</v>
      </c>
      <c r="G2263" s="662">
        <v>0</v>
      </c>
      <c r="H2263" s="662">
        <v>28358.298638454777</v>
      </c>
      <c r="I2263" s="662">
        <v>0</v>
      </c>
      <c r="J2263" s="662">
        <v>0</v>
      </c>
      <c r="K2263" s="566" t="s">
        <v>4991</v>
      </c>
      <c r="L2263"/>
      <c r="M2263" s="540"/>
      <c r="O2263" s="540"/>
    </row>
    <row r="2264" spans="1:15">
      <c r="A2264" s="565">
        <v>2958</v>
      </c>
      <c r="B2264" s="696" t="s">
        <v>7669</v>
      </c>
      <c r="C2264" s="566">
        <f t="shared" si="35"/>
        <v>2958</v>
      </c>
      <c r="D2264" s="700" t="s">
        <v>2248</v>
      </c>
      <c r="E2264" s="701" t="s">
        <v>10138</v>
      </c>
      <c r="F2264" s="566">
        <v>1</v>
      </c>
      <c r="G2264" s="662">
        <v>24832.259715333101</v>
      </c>
      <c r="H2264" s="662">
        <v>25692.987612846558</v>
      </c>
      <c r="I2264" s="662">
        <v>26599.030228567812</v>
      </c>
      <c r="J2264" s="662">
        <v>27552.753997781027</v>
      </c>
      <c r="K2264" s="566" t="s">
        <v>1522</v>
      </c>
      <c r="L2264"/>
      <c r="M2264" s="540"/>
      <c r="O2264" s="540"/>
    </row>
    <row r="2265" spans="1:15">
      <c r="A2265" s="565">
        <v>2959</v>
      </c>
      <c r="B2265" s="695" t="s">
        <v>7670</v>
      </c>
      <c r="C2265" s="566">
        <f t="shared" si="35"/>
        <v>2959</v>
      </c>
      <c r="D2265" s="699" t="s">
        <v>2248</v>
      </c>
      <c r="E2265" s="701" t="s">
        <v>10139</v>
      </c>
      <c r="F2265" s="567">
        <v>1</v>
      </c>
      <c r="G2265" s="662">
        <v>14569.905311961862</v>
      </c>
      <c r="H2265" s="662">
        <v>15117.203333429867</v>
      </c>
      <c r="I2265" s="662">
        <v>0</v>
      </c>
      <c r="J2265" s="662">
        <v>0</v>
      </c>
      <c r="K2265" s="568" t="s">
        <v>1523</v>
      </c>
      <c r="L2265"/>
      <c r="M2265" s="540"/>
      <c r="O2265" s="540"/>
    </row>
    <row r="2266" spans="1:15">
      <c r="A2266" s="565">
        <v>2960</v>
      </c>
      <c r="B2266" s="695" t="s">
        <v>7671</v>
      </c>
      <c r="C2266" s="566">
        <f t="shared" si="35"/>
        <v>2960</v>
      </c>
      <c r="D2266" s="699" t="s">
        <v>2248</v>
      </c>
      <c r="E2266" s="701" t="s">
        <v>10140</v>
      </c>
      <c r="F2266" s="567">
        <v>1</v>
      </c>
      <c r="G2266" s="662">
        <v>16091.628102376446</v>
      </c>
      <c r="H2266" s="662">
        <v>16706.729881269021</v>
      </c>
      <c r="I2266" s="662">
        <v>17321.831660161581</v>
      </c>
      <c r="J2266" s="662">
        <v>17969.340157987321</v>
      </c>
      <c r="K2266" s="568" t="s">
        <v>1524</v>
      </c>
      <c r="L2266"/>
      <c r="M2266" s="540"/>
      <c r="O2266" s="540"/>
    </row>
    <row r="2267" spans="1:15">
      <c r="A2267" s="565">
        <v>2961</v>
      </c>
      <c r="B2267" s="695" t="s">
        <v>7672</v>
      </c>
      <c r="C2267" s="566">
        <f t="shared" si="35"/>
        <v>2961</v>
      </c>
      <c r="D2267" s="699" t="s">
        <v>2248</v>
      </c>
      <c r="E2267" s="701" t="s">
        <v>10141</v>
      </c>
      <c r="F2267" s="567">
        <v>1</v>
      </c>
      <c r="G2267" s="662">
        <v>15350.275973712933</v>
      </c>
      <c r="H2267" s="662">
        <v>15932.345152834554</v>
      </c>
      <c r="I2267" s="662">
        <v>16514.414331956184</v>
      </c>
      <c r="J2267" s="662">
        <v>17127.151672128308</v>
      </c>
      <c r="K2267" s="568" t="s">
        <v>1525</v>
      </c>
      <c r="L2267"/>
      <c r="M2267" s="540"/>
      <c r="O2267" s="540"/>
    </row>
    <row r="2268" spans="1:15">
      <c r="A2268" s="565">
        <v>2962</v>
      </c>
      <c r="B2268" s="695" t="s">
        <v>7673</v>
      </c>
      <c r="C2268" s="566">
        <f t="shared" si="35"/>
        <v>2962</v>
      </c>
      <c r="D2268" s="699" t="s">
        <v>2248</v>
      </c>
      <c r="E2268" s="701" t="s">
        <v>10142</v>
      </c>
      <c r="F2268" s="567">
        <v>1</v>
      </c>
      <c r="G2268" s="662">
        <v>16766.903698684248</v>
      </c>
      <c r="H2268" s="662">
        <v>17412.04775778954</v>
      </c>
      <c r="I2268" s="662">
        <v>0</v>
      </c>
      <c r="J2268" s="662">
        <v>0</v>
      </c>
      <c r="K2268" s="568" t="s">
        <v>1526</v>
      </c>
      <c r="L2268"/>
      <c r="M2268" s="540"/>
      <c r="O2268" s="540"/>
    </row>
    <row r="2269" spans="1:15">
      <c r="A2269" s="565">
        <v>2963</v>
      </c>
      <c r="B2269" s="696" t="s">
        <v>7674</v>
      </c>
      <c r="C2269" s="566">
        <f t="shared" si="35"/>
        <v>2963</v>
      </c>
      <c r="D2269" s="700" t="s">
        <v>2248</v>
      </c>
      <c r="E2269" s="701" t="s">
        <v>10143</v>
      </c>
      <c r="F2269" s="566">
        <v>1</v>
      </c>
      <c r="G2269" s="662">
        <v>15791.440371495401</v>
      </c>
      <c r="H2269" s="662">
        <v>16393.120483533672</v>
      </c>
      <c r="I2269" s="662">
        <v>0</v>
      </c>
      <c r="J2269" s="662">
        <v>0</v>
      </c>
      <c r="K2269" s="566" t="s">
        <v>1527</v>
      </c>
      <c r="L2269"/>
      <c r="M2269" s="540"/>
      <c r="O2269" s="540"/>
    </row>
    <row r="2270" spans="1:15">
      <c r="A2270" s="565">
        <v>2964</v>
      </c>
      <c r="B2270" s="696" t="s">
        <v>7675</v>
      </c>
      <c r="C2270" s="566">
        <f t="shared" si="35"/>
        <v>2964</v>
      </c>
      <c r="D2270" s="700" t="s">
        <v>2248</v>
      </c>
      <c r="E2270" s="701" t="s">
        <v>10144</v>
      </c>
      <c r="F2270" s="566">
        <v>1</v>
      </c>
      <c r="G2270" s="662">
        <v>17426.061933970785</v>
      </c>
      <c r="H2270" s="662">
        <v>18100.622392451041</v>
      </c>
      <c r="I2270" s="662">
        <v>18775.182850931302</v>
      </c>
      <c r="J2270" s="662">
        <v>19485.279432533567</v>
      </c>
      <c r="K2270" s="566" t="s">
        <v>1528</v>
      </c>
      <c r="L2270"/>
      <c r="M2270" s="540"/>
      <c r="O2270" s="540"/>
    </row>
    <row r="2271" spans="1:15">
      <c r="A2271" s="565">
        <v>2965</v>
      </c>
      <c r="B2271" s="696" t="s">
        <v>7676</v>
      </c>
      <c r="C2271" s="566">
        <f t="shared" si="35"/>
        <v>2965</v>
      </c>
      <c r="D2271" s="700" t="s">
        <v>2248</v>
      </c>
      <c r="E2271" s="701" t="s">
        <v>10145</v>
      </c>
      <c r="F2271" s="566">
        <v>1</v>
      </c>
      <c r="G2271" s="662">
        <v>15904.33914355619</v>
      </c>
      <c r="H2271" s="662">
        <v>16511.095844611886</v>
      </c>
      <c r="I2271" s="662">
        <v>17117.852545667589</v>
      </c>
      <c r="J2271" s="662">
        <v>17756.529169449306</v>
      </c>
      <c r="K2271" s="566" t="s">
        <v>1529</v>
      </c>
      <c r="L2271"/>
      <c r="M2271" s="540"/>
      <c r="O2271" s="540"/>
    </row>
    <row r="2272" spans="1:15">
      <c r="A2272" s="565">
        <v>2966</v>
      </c>
      <c r="B2272" s="696" t="s">
        <v>7677</v>
      </c>
      <c r="C2272" s="566">
        <f t="shared" si="35"/>
        <v>2966</v>
      </c>
      <c r="D2272" s="700" t="s">
        <v>2248</v>
      </c>
      <c r="E2272" s="701" t="s">
        <v>10146</v>
      </c>
      <c r="F2272" s="566">
        <v>1</v>
      </c>
      <c r="G2272" s="662">
        <v>18101.337530278579</v>
      </c>
      <c r="H2272" s="662">
        <v>18805.940268971564</v>
      </c>
      <c r="I2272" s="662">
        <v>19510.543007664557</v>
      </c>
      <c r="J2272" s="662">
        <v>20252.211800416306</v>
      </c>
      <c r="K2272" s="566" t="s">
        <v>1530</v>
      </c>
      <c r="L2272"/>
      <c r="M2272" s="540"/>
      <c r="O2272" s="540"/>
    </row>
    <row r="2273" spans="1:15">
      <c r="A2273" s="565">
        <v>2967</v>
      </c>
      <c r="B2273" s="696" t="s">
        <v>7678</v>
      </c>
      <c r="C2273" s="566">
        <f t="shared" si="35"/>
        <v>2967</v>
      </c>
      <c r="D2273" s="700" t="s">
        <v>2248</v>
      </c>
      <c r="E2273" s="701" t="s">
        <v>10147</v>
      </c>
      <c r="F2273" s="566">
        <v>1</v>
      </c>
      <c r="G2273" s="662">
        <v>16579.614739863981</v>
      </c>
      <c r="H2273" s="662">
        <v>17216.413721132412</v>
      </c>
      <c r="I2273" s="662">
        <v>17853.282244716145</v>
      </c>
      <c r="J2273" s="662">
        <v>18523.531079647357</v>
      </c>
      <c r="K2273" s="566" t="s">
        <v>1531</v>
      </c>
      <c r="L2273"/>
      <c r="M2273" s="540"/>
      <c r="O2273" s="540"/>
    </row>
    <row r="2274" spans="1:15">
      <c r="A2274" s="565">
        <v>2968</v>
      </c>
      <c r="B2274" s="696" t="s">
        <v>7679</v>
      </c>
      <c r="C2274" s="566">
        <f t="shared" si="35"/>
        <v>2968</v>
      </c>
      <c r="D2274" s="700" t="s">
        <v>2248</v>
      </c>
      <c r="E2274" s="701" t="s">
        <v>10148</v>
      </c>
      <c r="F2274" s="566">
        <v>1</v>
      </c>
      <c r="G2274" s="662">
        <v>0</v>
      </c>
      <c r="H2274" s="662">
        <v>20266.781125340098</v>
      </c>
      <c r="I2274" s="662">
        <v>0</v>
      </c>
      <c r="J2274" s="662">
        <v>0</v>
      </c>
      <c r="K2274" s="566" t="s">
        <v>3238</v>
      </c>
      <c r="L2274"/>
      <c r="M2274" s="540"/>
      <c r="O2274" s="540"/>
    </row>
    <row r="2275" spans="1:15">
      <c r="A2275" s="565">
        <v>2969</v>
      </c>
      <c r="B2275" s="696" t="s">
        <v>7680</v>
      </c>
      <c r="C2275" s="566">
        <f t="shared" si="35"/>
        <v>2969</v>
      </c>
      <c r="D2275" s="700" t="s">
        <v>2248</v>
      </c>
      <c r="E2275" s="701" t="s">
        <v>10149</v>
      </c>
      <c r="F2275" s="566">
        <v>1</v>
      </c>
      <c r="G2275" s="662">
        <v>0</v>
      </c>
      <c r="H2275" s="662">
        <v>18737.254628307994</v>
      </c>
      <c r="I2275" s="662">
        <v>0</v>
      </c>
      <c r="J2275" s="662">
        <v>0</v>
      </c>
      <c r="K2275" s="566" t="s">
        <v>3239</v>
      </c>
      <c r="L2275"/>
      <c r="M2275" s="540"/>
      <c r="O2275" s="540"/>
    </row>
    <row r="2276" spans="1:15">
      <c r="A2276" s="565">
        <v>2970</v>
      </c>
      <c r="B2276" s="696" t="s">
        <v>7681</v>
      </c>
      <c r="C2276" s="566">
        <f t="shared" si="35"/>
        <v>2970</v>
      </c>
      <c r="D2276" s="700" t="s">
        <v>2248</v>
      </c>
      <c r="E2276" s="701" t="s">
        <v>10150</v>
      </c>
      <c r="F2276" s="566">
        <v>1</v>
      </c>
      <c r="G2276" s="662">
        <v>0</v>
      </c>
      <c r="H2276" s="662">
        <v>19416.007121436021</v>
      </c>
      <c r="I2276" s="662">
        <v>0</v>
      </c>
      <c r="J2276" s="662">
        <v>0</v>
      </c>
      <c r="K2276" s="566" t="s">
        <v>3240</v>
      </c>
      <c r="L2276"/>
      <c r="M2276" s="540"/>
      <c r="O2276" s="540"/>
    </row>
    <row r="2277" spans="1:15">
      <c r="A2277" s="565">
        <v>2971</v>
      </c>
      <c r="B2277" s="696" t="s">
        <v>7682</v>
      </c>
      <c r="C2277" s="566">
        <f t="shared" si="35"/>
        <v>2971</v>
      </c>
      <c r="D2277" s="700" t="s">
        <v>2248</v>
      </c>
      <c r="E2277" s="701" t="s">
        <v>10151</v>
      </c>
      <c r="F2277" s="566">
        <v>1</v>
      </c>
      <c r="G2277" s="662">
        <v>0</v>
      </c>
      <c r="H2277" s="662">
        <v>17886.480624403914</v>
      </c>
      <c r="I2277" s="662">
        <v>0</v>
      </c>
      <c r="J2277" s="662">
        <v>0</v>
      </c>
      <c r="K2277" s="566" t="s">
        <v>3241</v>
      </c>
      <c r="L2277"/>
      <c r="M2277" s="540"/>
      <c r="O2277" s="540"/>
    </row>
    <row r="2278" spans="1:15">
      <c r="A2278" s="565">
        <v>2972</v>
      </c>
      <c r="B2278" s="695" t="s">
        <v>7683</v>
      </c>
      <c r="C2278" s="566">
        <f t="shared" si="35"/>
        <v>2972</v>
      </c>
      <c r="D2278" s="699" t="s">
        <v>2248</v>
      </c>
      <c r="E2278" s="701" t="s">
        <v>10152</v>
      </c>
      <c r="F2278" s="567">
        <v>1</v>
      </c>
      <c r="G2278" s="662">
        <v>17426.061933970785</v>
      </c>
      <c r="H2278" s="662">
        <v>0</v>
      </c>
      <c r="I2278" s="662">
        <v>0</v>
      </c>
      <c r="J2278" s="662">
        <v>0</v>
      </c>
      <c r="K2278" s="568" t="s">
        <v>5378</v>
      </c>
      <c r="L2278"/>
      <c r="M2278" s="540"/>
      <c r="O2278" s="540"/>
    </row>
    <row r="2279" spans="1:15">
      <c r="A2279" s="565">
        <v>2973</v>
      </c>
      <c r="B2279" s="696" t="s">
        <v>7684</v>
      </c>
      <c r="C2279" s="566">
        <f t="shared" si="35"/>
        <v>2973</v>
      </c>
      <c r="D2279" s="700" t="s">
        <v>2248</v>
      </c>
      <c r="E2279" s="701" t="s">
        <v>10153</v>
      </c>
      <c r="F2279" s="566">
        <v>1</v>
      </c>
      <c r="G2279" s="662">
        <v>16489.617139869493</v>
      </c>
      <c r="H2279" s="662">
        <v>0</v>
      </c>
      <c r="I2279" s="662">
        <v>0</v>
      </c>
      <c r="J2279" s="662">
        <v>0</v>
      </c>
      <c r="K2279" s="566" t="s">
        <v>5379</v>
      </c>
      <c r="L2279"/>
      <c r="M2279" s="540"/>
      <c r="O2279" s="540"/>
    </row>
    <row r="2280" spans="1:15">
      <c r="A2280" s="565">
        <v>2974</v>
      </c>
      <c r="B2280" s="696" t="s">
        <v>7685</v>
      </c>
      <c r="C2280" s="566">
        <f t="shared" si="35"/>
        <v>2974</v>
      </c>
      <c r="D2280" s="700" t="s">
        <v>2248</v>
      </c>
      <c r="E2280" s="701" t="s">
        <v>10154</v>
      </c>
      <c r="F2280" s="566">
        <v>1</v>
      </c>
      <c r="G2280" s="662">
        <v>17582.136066320996</v>
      </c>
      <c r="H2280" s="662">
        <v>0</v>
      </c>
      <c r="I2280" s="662">
        <v>0</v>
      </c>
      <c r="J2280" s="662">
        <v>0</v>
      </c>
      <c r="K2280" s="566" t="s">
        <v>5380</v>
      </c>
      <c r="L2280"/>
      <c r="M2280" s="540"/>
      <c r="O2280" s="540"/>
    </row>
    <row r="2281" spans="1:15">
      <c r="A2281" s="565">
        <v>2975</v>
      </c>
      <c r="B2281" s="696" t="s">
        <v>7686</v>
      </c>
      <c r="C2281" s="566">
        <f t="shared" si="35"/>
        <v>2975</v>
      </c>
      <c r="D2281" s="700" t="s">
        <v>2248</v>
      </c>
      <c r="E2281" s="701" t="s">
        <v>10155</v>
      </c>
      <c r="F2281" s="566">
        <v>1</v>
      </c>
      <c r="G2281" s="662">
        <v>16645.691272219705</v>
      </c>
      <c r="H2281" s="662">
        <v>0</v>
      </c>
      <c r="I2281" s="662">
        <v>0</v>
      </c>
      <c r="J2281" s="662">
        <v>0</v>
      </c>
      <c r="K2281" s="566" t="s">
        <v>5381</v>
      </c>
      <c r="L2281"/>
      <c r="M2281" s="540"/>
      <c r="O2281" s="540"/>
    </row>
    <row r="2282" spans="1:15">
      <c r="A2282" s="565">
        <v>2976</v>
      </c>
      <c r="B2282" s="695" t="s">
        <v>7687</v>
      </c>
      <c r="C2282" s="566">
        <f t="shared" si="35"/>
        <v>2976</v>
      </c>
      <c r="D2282" s="699" t="s">
        <v>2248</v>
      </c>
      <c r="E2282" s="701" t="s">
        <v>10156</v>
      </c>
      <c r="F2282" s="567">
        <v>1</v>
      </c>
      <c r="G2282" s="662">
        <v>18206.432595721853</v>
      </c>
      <c r="H2282" s="662">
        <v>0</v>
      </c>
      <c r="I2282" s="662">
        <v>0</v>
      </c>
      <c r="J2282" s="662">
        <v>0</v>
      </c>
      <c r="K2282" s="568" t="s">
        <v>5382</v>
      </c>
      <c r="L2282"/>
      <c r="M2282" s="540"/>
      <c r="O2282" s="540"/>
    </row>
    <row r="2283" spans="1:15">
      <c r="A2283" s="565">
        <v>2977</v>
      </c>
      <c r="B2283" s="696" t="s">
        <v>7688</v>
      </c>
      <c r="C2283" s="566">
        <f t="shared" si="35"/>
        <v>2977</v>
      </c>
      <c r="D2283" s="700" t="s">
        <v>2248</v>
      </c>
      <c r="E2283" s="701" t="s">
        <v>10157</v>
      </c>
      <c r="F2283" s="566">
        <v>1</v>
      </c>
      <c r="G2283" s="662">
        <v>17113.913669270354</v>
      </c>
      <c r="H2283" s="662">
        <v>0</v>
      </c>
      <c r="I2283" s="662">
        <v>0</v>
      </c>
      <c r="J2283" s="662">
        <v>0</v>
      </c>
      <c r="K2283" s="566" t="s">
        <v>5383</v>
      </c>
      <c r="L2283"/>
      <c r="M2283" s="540"/>
      <c r="O2283" s="540"/>
    </row>
    <row r="2284" spans="1:15">
      <c r="A2284" s="565">
        <v>2978</v>
      </c>
      <c r="B2284" s="696" t="s">
        <v>7689</v>
      </c>
      <c r="C2284" s="566">
        <f t="shared" si="35"/>
        <v>2978</v>
      </c>
      <c r="D2284" s="700" t="s">
        <v>2248</v>
      </c>
      <c r="E2284" s="701" t="s">
        <v>10158</v>
      </c>
      <c r="F2284" s="566">
        <v>1</v>
      </c>
      <c r="G2284" s="662">
        <v>18362.506728072065</v>
      </c>
      <c r="H2284" s="662">
        <v>0</v>
      </c>
      <c r="I2284" s="662">
        <v>0</v>
      </c>
      <c r="J2284" s="662">
        <v>0</v>
      </c>
      <c r="K2284" s="566" t="s">
        <v>5384</v>
      </c>
      <c r="L2284"/>
      <c r="M2284" s="540"/>
      <c r="O2284" s="540"/>
    </row>
    <row r="2285" spans="1:15">
      <c r="A2285" s="565">
        <v>2979</v>
      </c>
      <c r="B2285" s="697" t="s">
        <v>7690</v>
      </c>
      <c r="C2285" s="566">
        <f t="shared" si="35"/>
        <v>2979</v>
      </c>
      <c r="D2285" s="699" t="s">
        <v>2248</v>
      </c>
      <c r="E2285" s="701" t="s">
        <v>10159</v>
      </c>
      <c r="F2285" s="567">
        <v>1</v>
      </c>
      <c r="G2285" s="662">
        <v>17269.987801620566</v>
      </c>
      <c r="H2285" s="662">
        <v>0</v>
      </c>
      <c r="I2285" s="662">
        <v>0</v>
      </c>
      <c r="J2285" s="662">
        <v>0</v>
      </c>
      <c r="K2285" s="568" t="s">
        <v>5385</v>
      </c>
      <c r="L2285"/>
      <c r="M2285" s="540"/>
      <c r="O2285" s="540"/>
    </row>
    <row r="2286" spans="1:15">
      <c r="A2286" s="565">
        <v>2980</v>
      </c>
      <c r="B2286" s="697" t="s">
        <v>7691</v>
      </c>
      <c r="C2286" s="566">
        <f t="shared" si="35"/>
        <v>2980</v>
      </c>
      <c r="D2286" s="699" t="s">
        <v>2248</v>
      </c>
      <c r="E2286" s="701" t="s">
        <v>10160</v>
      </c>
      <c r="F2286" s="567">
        <v>1</v>
      </c>
      <c r="G2286" s="662">
        <v>0</v>
      </c>
      <c r="H2286" s="662">
        <v>19050.183263670177</v>
      </c>
      <c r="I2286" s="662">
        <v>0</v>
      </c>
      <c r="J2286" s="662">
        <v>0</v>
      </c>
      <c r="K2286" s="568" t="s">
        <v>3242</v>
      </c>
      <c r="L2286"/>
      <c r="M2286" s="540"/>
      <c r="O2286" s="540"/>
    </row>
    <row r="2287" spans="1:15">
      <c r="A2287" s="565">
        <v>2981</v>
      </c>
      <c r="B2287" s="697" t="s">
        <v>7692</v>
      </c>
      <c r="C2287" s="566">
        <f t="shared" si="35"/>
        <v>2981</v>
      </c>
      <c r="D2287" s="699" t="s">
        <v>2248</v>
      </c>
      <c r="E2287" s="701" t="s">
        <v>10161</v>
      </c>
      <c r="F2287" s="567">
        <v>1</v>
      </c>
      <c r="G2287" s="662">
        <v>0</v>
      </c>
      <c r="H2287" s="662">
        <v>17699.191665583658</v>
      </c>
      <c r="I2287" s="662">
        <v>18349.760025282918</v>
      </c>
      <c r="J2287" s="662">
        <v>19034.612746428651</v>
      </c>
      <c r="K2287" s="568" t="s">
        <v>3243</v>
      </c>
      <c r="L2287"/>
      <c r="M2287" s="540"/>
      <c r="O2287" s="540"/>
    </row>
    <row r="2288" spans="1:15">
      <c r="A2288" s="565">
        <v>2982</v>
      </c>
      <c r="B2288" s="697" t="s">
        <v>7693</v>
      </c>
      <c r="C2288" s="566">
        <f t="shared" si="35"/>
        <v>2982</v>
      </c>
      <c r="D2288" s="699" t="s">
        <v>2248</v>
      </c>
      <c r="E2288" s="701" t="s">
        <v>10162</v>
      </c>
      <c r="F2288" s="567">
        <v>1</v>
      </c>
      <c r="G2288" s="662">
        <v>0</v>
      </c>
      <c r="H2288" s="662">
        <v>19899.751940423976</v>
      </c>
      <c r="I2288" s="662">
        <v>20643.228833373712</v>
      </c>
      <c r="J2288" s="662">
        <v>21425.788507526118</v>
      </c>
      <c r="K2288" s="568" t="s">
        <v>3244</v>
      </c>
      <c r="L2288"/>
      <c r="M2288" s="540"/>
      <c r="O2288" s="540"/>
    </row>
    <row r="2289" spans="1:15">
      <c r="A2289" s="565">
        <v>2983</v>
      </c>
      <c r="B2289" s="695" t="s">
        <v>7694</v>
      </c>
      <c r="C2289" s="566">
        <f t="shared" si="35"/>
        <v>2983</v>
      </c>
      <c r="D2289" s="699" t="s">
        <v>2248</v>
      </c>
      <c r="E2289" s="701" t="s">
        <v>10163</v>
      </c>
      <c r="F2289" s="567">
        <v>1</v>
      </c>
      <c r="G2289" s="662">
        <v>0</v>
      </c>
      <c r="H2289" s="662">
        <v>18374.467261891448</v>
      </c>
      <c r="I2289" s="662">
        <v>19053.547970866683</v>
      </c>
      <c r="J2289" s="662">
        <v>19768.373429909836</v>
      </c>
      <c r="K2289" s="568" t="s">
        <v>3245</v>
      </c>
      <c r="L2289"/>
      <c r="M2289" s="540"/>
      <c r="O2289" s="540"/>
    </row>
    <row r="2290" spans="1:15">
      <c r="A2290" s="565">
        <v>2984</v>
      </c>
      <c r="B2290" s="697" t="s">
        <v>7695</v>
      </c>
      <c r="C2290" s="566">
        <f t="shared" si="35"/>
        <v>2984</v>
      </c>
      <c r="D2290" s="699" t="s">
        <v>2248</v>
      </c>
      <c r="E2290" s="701" t="s">
        <v>10164</v>
      </c>
      <c r="F2290" s="567">
        <v>1</v>
      </c>
      <c r="G2290" s="662">
        <v>24635.126107227181</v>
      </c>
      <c r="H2290" s="662">
        <v>25630.902520111602</v>
      </c>
      <c r="I2290" s="662">
        <v>0</v>
      </c>
      <c r="J2290" s="662">
        <v>0</v>
      </c>
      <c r="K2290" s="568" t="s">
        <v>1532</v>
      </c>
      <c r="L2290"/>
      <c r="M2290" s="540"/>
      <c r="O2290" s="540"/>
    </row>
    <row r="2291" spans="1:15">
      <c r="A2291" s="565">
        <v>2985</v>
      </c>
      <c r="B2291" s="697" t="s">
        <v>7696</v>
      </c>
      <c r="C2291" s="566">
        <f t="shared" si="35"/>
        <v>2985</v>
      </c>
      <c r="D2291" s="699" t="s">
        <v>2248</v>
      </c>
      <c r="E2291" s="701" t="s">
        <v>10165</v>
      </c>
      <c r="F2291" s="567">
        <v>1</v>
      </c>
      <c r="G2291" s="662">
        <v>22947.609322348144</v>
      </c>
      <c r="H2291" s="662">
        <v>23868.140950070119</v>
      </c>
      <c r="I2291" s="662">
        <v>0</v>
      </c>
      <c r="J2291" s="662">
        <v>0</v>
      </c>
      <c r="K2291" s="568" t="s">
        <v>1533</v>
      </c>
      <c r="L2291"/>
      <c r="M2291" s="540"/>
      <c r="O2291" s="540"/>
    </row>
    <row r="2292" spans="1:15">
      <c r="A2292" s="565">
        <v>2986</v>
      </c>
      <c r="B2292" s="696" t="s">
        <v>7697</v>
      </c>
      <c r="C2292" s="566">
        <f t="shared" si="35"/>
        <v>2986</v>
      </c>
      <c r="D2292" s="700" t="s">
        <v>2248</v>
      </c>
      <c r="E2292" s="701" t="s">
        <v>10166</v>
      </c>
      <c r="F2292" s="566">
        <v>1</v>
      </c>
      <c r="G2292" s="662">
        <v>20932.792713986979</v>
      </c>
      <c r="H2292" s="662">
        <v>21763.614754962618</v>
      </c>
      <c r="I2292" s="662">
        <v>0</v>
      </c>
      <c r="J2292" s="662">
        <v>0</v>
      </c>
      <c r="K2292" s="566" t="s">
        <v>1534</v>
      </c>
      <c r="L2292"/>
      <c r="M2292" s="540"/>
      <c r="O2292" s="540"/>
    </row>
    <row r="2293" spans="1:15">
      <c r="A2293" s="565">
        <v>2987</v>
      </c>
      <c r="B2293" s="697" t="s">
        <v>7698</v>
      </c>
      <c r="C2293" s="566">
        <f t="shared" si="35"/>
        <v>2987</v>
      </c>
      <c r="D2293" s="699" t="s">
        <v>2248</v>
      </c>
      <c r="E2293" s="701" t="s">
        <v>10167</v>
      </c>
      <c r="F2293" s="567">
        <v>1</v>
      </c>
      <c r="G2293" s="662">
        <v>19572.081253786226</v>
      </c>
      <c r="H2293" s="662">
        <v>20342.262395813948</v>
      </c>
      <c r="I2293" s="662">
        <v>0</v>
      </c>
      <c r="J2293" s="662">
        <v>0</v>
      </c>
      <c r="K2293" s="568" t="s">
        <v>1535</v>
      </c>
      <c r="L2293"/>
      <c r="M2293" s="540"/>
      <c r="O2293" s="540"/>
    </row>
    <row r="2294" spans="1:15">
      <c r="A2294" s="565">
        <v>2988</v>
      </c>
      <c r="B2294" s="695" t="s">
        <v>7699</v>
      </c>
      <c r="C2294" s="566">
        <f t="shared" si="35"/>
        <v>2988</v>
      </c>
      <c r="D2294" s="699" t="s">
        <v>2248</v>
      </c>
      <c r="E2294" s="701" t="s">
        <v>10168</v>
      </c>
      <c r="F2294" s="567">
        <v>1</v>
      </c>
      <c r="G2294" s="662">
        <v>21721.477030141796</v>
      </c>
      <c r="H2294" s="662">
        <v>22587.41794034759</v>
      </c>
      <c r="I2294" s="662">
        <v>0</v>
      </c>
      <c r="J2294" s="662">
        <v>0</v>
      </c>
      <c r="K2294" s="568" t="s">
        <v>1536</v>
      </c>
      <c r="L2294"/>
      <c r="M2294" s="540"/>
      <c r="O2294" s="540"/>
    </row>
    <row r="2295" spans="1:15">
      <c r="A2295" s="565">
        <v>2989</v>
      </c>
      <c r="B2295" s="695" t="s">
        <v>7700</v>
      </c>
      <c r="C2295" s="566">
        <f t="shared" si="35"/>
        <v>2989</v>
      </c>
      <c r="D2295" s="699" t="s">
        <v>2248</v>
      </c>
      <c r="E2295" s="701" t="s">
        <v>10169</v>
      </c>
      <c r="F2295" s="567">
        <v>1</v>
      </c>
      <c r="G2295" s="662">
        <v>20355.658389482014</v>
      </c>
      <c r="H2295" s="662">
        <v>21160.749773793967</v>
      </c>
      <c r="I2295" s="662">
        <v>0</v>
      </c>
      <c r="J2295" s="662">
        <v>0</v>
      </c>
      <c r="K2295" s="568" t="s">
        <v>1537</v>
      </c>
      <c r="L2295"/>
      <c r="M2295" s="540"/>
      <c r="O2295" s="540"/>
    </row>
    <row r="2296" spans="1:15">
      <c r="A2296" s="565">
        <v>2990</v>
      </c>
      <c r="B2296" s="696" t="s">
        <v>7701</v>
      </c>
      <c r="C2296" s="566">
        <f t="shared" si="35"/>
        <v>2990</v>
      </c>
      <c r="D2296" s="700" t="s">
        <v>2248</v>
      </c>
      <c r="E2296" s="701" t="s">
        <v>10170</v>
      </c>
      <c r="F2296" s="566">
        <v>1</v>
      </c>
      <c r="G2296" s="662">
        <v>22290.537225153737</v>
      </c>
      <c r="H2296" s="662">
        <v>0</v>
      </c>
      <c r="I2296" s="662">
        <v>0</v>
      </c>
      <c r="J2296" s="662">
        <v>0</v>
      </c>
      <c r="K2296" s="566" t="s">
        <v>5386</v>
      </c>
      <c r="L2296"/>
      <c r="M2296" s="540"/>
      <c r="O2296" s="540"/>
    </row>
    <row r="2297" spans="1:15">
      <c r="A2297" s="565">
        <v>2991</v>
      </c>
      <c r="B2297" s="696" t="s">
        <v>7702</v>
      </c>
      <c r="C2297" s="566">
        <f t="shared" si="35"/>
        <v>2991</v>
      </c>
      <c r="D2297" s="700" t="s">
        <v>2248</v>
      </c>
      <c r="E2297" s="701" t="s">
        <v>10171</v>
      </c>
      <c r="F2297" s="566">
        <v>1</v>
      </c>
      <c r="G2297" s="662">
        <v>21917.50551932599</v>
      </c>
      <c r="H2297" s="662">
        <v>0</v>
      </c>
      <c r="I2297" s="662">
        <v>0</v>
      </c>
      <c r="J2297" s="662">
        <v>0</v>
      </c>
      <c r="K2297" s="566" t="s">
        <v>5387</v>
      </c>
      <c r="L2297"/>
      <c r="M2297" s="540"/>
      <c r="O2297" s="540"/>
    </row>
    <row r="2298" spans="1:15">
      <c r="A2298" s="565">
        <v>2992</v>
      </c>
      <c r="B2298" s="696" t="s">
        <v>7703</v>
      </c>
      <c r="C2298" s="566">
        <f t="shared" si="35"/>
        <v>2992</v>
      </c>
      <c r="D2298" s="700" t="s">
        <v>2248</v>
      </c>
      <c r="E2298" s="701" t="s">
        <v>10172</v>
      </c>
      <c r="F2298" s="566">
        <v>1</v>
      </c>
      <c r="G2298" s="662">
        <v>23912.394446753769</v>
      </c>
      <c r="H2298" s="662">
        <v>0</v>
      </c>
      <c r="I2298" s="662">
        <v>0</v>
      </c>
      <c r="J2298" s="662">
        <v>0</v>
      </c>
      <c r="K2298" s="566" t="s">
        <v>5388</v>
      </c>
      <c r="L2298"/>
      <c r="M2298" s="540"/>
      <c r="O2298" s="540"/>
    </row>
    <row r="2299" spans="1:15">
      <c r="A2299" s="565">
        <v>2993</v>
      </c>
      <c r="B2299" s="696" t="s">
        <v>7704</v>
      </c>
      <c r="C2299" s="566">
        <f t="shared" si="35"/>
        <v>2993</v>
      </c>
      <c r="D2299" s="700" t="s">
        <v>2248</v>
      </c>
      <c r="E2299" s="701" t="s">
        <v>10173</v>
      </c>
      <c r="F2299" s="566">
        <v>1</v>
      </c>
      <c r="G2299" s="662">
        <v>0</v>
      </c>
      <c r="H2299" s="662">
        <v>26307.533911725328</v>
      </c>
      <c r="I2299" s="662">
        <v>27115.069475779186</v>
      </c>
      <c r="J2299" s="662">
        <v>27965.109359184939</v>
      </c>
      <c r="K2299" s="566" t="s">
        <v>3246</v>
      </c>
      <c r="L2299"/>
      <c r="M2299" s="540"/>
      <c r="O2299" s="540"/>
    </row>
    <row r="2300" spans="1:15">
      <c r="A2300" s="565">
        <v>2994</v>
      </c>
      <c r="B2300" s="696" t="s">
        <v>7705</v>
      </c>
      <c r="C2300" s="566">
        <f t="shared" si="35"/>
        <v>2994</v>
      </c>
      <c r="D2300" s="700" t="s">
        <v>2248</v>
      </c>
      <c r="E2300" s="701" t="s">
        <v>10174</v>
      </c>
      <c r="F2300" s="566">
        <v>1</v>
      </c>
      <c r="G2300" s="662">
        <v>0</v>
      </c>
      <c r="H2300" s="662">
        <v>0</v>
      </c>
      <c r="I2300" s="662">
        <v>28669.034831864665</v>
      </c>
      <c r="J2300" s="662">
        <v>30636.23145902314</v>
      </c>
      <c r="K2300" s="566" t="s">
        <v>4992</v>
      </c>
      <c r="L2300"/>
      <c r="M2300" s="540"/>
      <c r="O2300" s="540"/>
    </row>
    <row r="2301" spans="1:15">
      <c r="A2301" s="565">
        <v>2995</v>
      </c>
      <c r="B2301" s="696" t="s">
        <v>7706</v>
      </c>
      <c r="C2301" s="566">
        <f t="shared" si="35"/>
        <v>2995</v>
      </c>
      <c r="D2301" s="700" t="s">
        <v>2248</v>
      </c>
      <c r="E2301" s="701" t="s">
        <v>10175</v>
      </c>
      <c r="F2301" s="566">
        <v>1</v>
      </c>
      <c r="G2301" s="662">
        <v>0</v>
      </c>
      <c r="H2301" s="662">
        <v>0</v>
      </c>
      <c r="I2301" s="662">
        <v>0</v>
      </c>
      <c r="J2301" s="662">
        <v>26964.657541173678</v>
      </c>
      <c r="K2301" s="566" t="s">
        <v>4993</v>
      </c>
      <c r="L2301"/>
      <c r="M2301" s="540"/>
      <c r="O2301" s="540"/>
    </row>
    <row r="2302" spans="1:15">
      <c r="A2302" s="565">
        <v>2996</v>
      </c>
      <c r="B2302" s="695" t="s">
        <v>7707</v>
      </c>
      <c r="C2302" s="566">
        <f t="shared" si="35"/>
        <v>2996</v>
      </c>
      <c r="D2302" s="699" t="s">
        <v>2248</v>
      </c>
      <c r="E2302" s="701" t="s">
        <v>10176</v>
      </c>
      <c r="F2302" s="567">
        <v>1</v>
      </c>
      <c r="G2302" s="662">
        <v>0</v>
      </c>
      <c r="H2302" s="662">
        <v>27589.815339176879</v>
      </c>
      <c r="I2302" s="662">
        <v>28440.459769794412</v>
      </c>
      <c r="J2302" s="662">
        <v>29335.88719771594</v>
      </c>
      <c r="K2302" s="568" t="s">
        <v>3247</v>
      </c>
      <c r="L2302"/>
      <c r="M2302" s="540"/>
      <c r="O2302" s="540"/>
    </row>
    <row r="2303" spans="1:15">
      <c r="A2303" s="565">
        <v>2997</v>
      </c>
      <c r="B2303" s="696" t="s">
        <v>7708</v>
      </c>
      <c r="C2303" s="566">
        <f t="shared" si="35"/>
        <v>2997</v>
      </c>
      <c r="D2303" s="700" t="s">
        <v>2248</v>
      </c>
      <c r="E2303" s="701" t="s">
        <v>10177</v>
      </c>
      <c r="F2303" s="566">
        <v>1</v>
      </c>
      <c r="G2303" s="662">
        <v>0</v>
      </c>
      <c r="H2303" s="662">
        <v>0</v>
      </c>
      <c r="I2303" s="662">
        <v>29994.425125879887</v>
      </c>
      <c r="J2303" s="662">
        <v>32057.419234290952</v>
      </c>
      <c r="K2303" s="566" t="s">
        <v>4994</v>
      </c>
      <c r="L2303"/>
      <c r="M2303" s="540"/>
      <c r="O2303" s="540"/>
    </row>
    <row r="2304" spans="1:15">
      <c r="A2304" s="565">
        <v>2998</v>
      </c>
      <c r="B2304" s="694" t="s">
        <v>7709</v>
      </c>
      <c r="C2304" s="566">
        <f t="shared" si="35"/>
        <v>2998</v>
      </c>
      <c r="D2304" s="698" t="s">
        <v>2248</v>
      </c>
      <c r="E2304" s="701" t="s">
        <v>10178</v>
      </c>
      <c r="F2304" s="551">
        <v>1</v>
      </c>
      <c r="G2304" s="663">
        <v>0</v>
      </c>
      <c r="H2304" s="663">
        <v>28411.47139948565</v>
      </c>
      <c r="I2304" s="663">
        <v>0</v>
      </c>
      <c r="J2304" s="663">
        <v>0</v>
      </c>
      <c r="K2304" s="654" t="s">
        <v>3248</v>
      </c>
      <c r="L2304"/>
      <c r="M2304" s="540"/>
      <c r="O2304" s="540"/>
    </row>
    <row r="2305" spans="1:15">
      <c r="A2305" s="565">
        <v>2999</v>
      </c>
      <c r="B2305" s="694" t="s">
        <v>7710</v>
      </c>
      <c r="C2305" s="566">
        <f t="shared" si="35"/>
        <v>2999</v>
      </c>
      <c r="D2305" s="698" t="s">
        <v>2248</v>
      </c>
      <c r="E2305" s="701" t="s">
        <v>10179</v>
      </c>
      <c r="F2305" s="551">
        <v>1</v>
      </c>
      <c r="G2305" s="663">
        <v>0</v>
      </c>
      <c r="H2305" s="663">
        <v>29693.752826937212</v>
      </c>
      <c r="I2305" s="663">
        <v>0</v>
      </c>
      <c r="J2305" s="663">
        <v>0</v>
      </c>
      <c r="K2305" s="654" t="s">
        <v>3249</v>
      </c>
      <c r="L2305"/>
      <c r="M2305" s="540"/>
      <c r="O2305" s="540"/>
    </row>
    <row r="2306" spans="1:15">
      <c r="A2306" s="565">
        <v>3000</v>
      </c>
      <c r="B2306" s="694" t="s">
        <v>7711</v>
      </c>
      <c r="C2306" s="566">
        <f t="shared" si="35"/>
        <v>3000</v>
      </c>
      <c r="D2306" s="698" t="s">
        <v>2248</v>
      </c>
      <c r="E2306" s="701" t="s">
        <v>10180</v>
      </c>
      <c r="F2306" s="551">
        <v>1</v>
      </c>
      <c r="G2306" s="663">
        <v>0</v>
      </c>
      <c r="H2306" s="663">
        <v>22044.830293795072</v>
      </c>
      <c r="I2306" s="663">
        <v>22709.088168655166</v>
      </c>
      <c r="J2306" s="663">
        <v>23408.27027090394</v>
      </c>
      <c r="K2306" s="654" t="s">
        <v>3250</v>
      </c>
      <c r="L2306"/>
      <c r="M2306" s="540"/>
      <c r="O2306" s="540"/>
    </row>
    <row r="2307" spans="1:15">
      <c r="A2307" s="565">
        <v>3001</v>
      </c>
      <c r="B2307" s="694" t="s">
        <v>7712</v>
      </c>
      <c r="C2307" s="566">
        <f t="shared" si="35"/>
        <v>3001</v>
      </c>
      <c r="D2307" s="698" t="s">
        <v>2248</v>
      </c>
      <c r="E2307" s="701" t="s">
        <v>10181</v>
      </c>
      <c r="F2307" s="551">
        <v>1</v>
      </c>
      <c r="G2307" s="663">
        <v>0</v>
      </c>
      <c r="H2307" s="663">
        <v>0</v>
      </c>
      <c r="I2307" s="663">
        <v>20909.519306307979</v>
      </c>
      <c r="J2307" s="663">
        <v>22234.686794547495</v>
      </c>
      <c r="K2307" s="654" t="s">
        <v>4995</v>
      </c>
      <c r="L2307"/>
      <c r="M2307" s="540"/>
      <c r="O2307" s="540"/>
    </row>
    <row r="2308" spans="1:15">
      <c r="A2308" s="565">
        <v>3002</v>
      </c>
      <c r="B2308" s="694" t="s">
        <v>7713</v>
      </c>
      <c r="C2308" s="566">
        <f t="shared" si="35"/>
        <v>3002</v>
      </c>
      <c r="D2308" s="698" t="s">
        <v>2248</v>
      </c>
      <c r="E2308" s="701" t="s">
        <v>10182</v>
      </c>
      <c r="F2308" s="551">
        <v>1</v>
      </c>
      <c r="G2308" s="663">
        <v>21805.461511102061</v>
      </c>
      <c r="H2308" s="663">
        <v>22461.674257682207</v>
      </c>
      <c r="I2308" s="663">
        <v>23152.392698965952</v>
      </c>
      <c r="J2308" s="663">
        <v>23879.476980220337</v>
      </c>
      <c r="K2308" s="654" t="s">
        <v>1538</v>
      </c>
      <c r="L2308"/>
      <c r="M2308" s="540"/>
      <c r="O2308" s="540"/>
    </row>
    <row r="2309" spans="1:15">
      <c r="A2309" s="565">
        <v>3003</v>
      </c>
      <c r="B2309" s="694" t="s">
        <v>7714</v>
      </c>
      <c r="C2309" s="566">
        <f t="shared" si="35"/>
        <v>3003</v>
      </c>
      <c r="D2309" s="698" t="s">
        <v>2248</v>
      </c>
      <c r="E2309" s="701" t="s">
        <v>10183</v>
      </c>
      <c r="F2309" s="551">
        <v>1</v>
      </c>
      <c r="G2309" s="663">
        <v>20913.836388488551</v>
      </c>
      <c r="H2309" s="663">
        <v>21540.054292637669</v>
      </c>
      <c r="I2309" s="663">
        <v>22199.196768013397</v>
      </c>
      <c r="J2309" s="663">
        <v>22893.077456251111</v>
      </c>
      <c r="K2309" s="654" t="s">
        <v>1539</v>
      </c>
      <c r="L2309"/>
      <c r="M2309" s="540"/>
      <c r="O2309" s="540"/>
    </row>
    <row r="2310" spans="1:15">
      <c r="A2310" s="565">
        <v>3004</v>
      </c>
      <c r="B2310" s="694" t="s">
        <v>7715</v>
      </c>
      <c r="C2310" s="566">
        <f t="shared" si="35"/>
        <v>3004</v>
      </c>
      <c r="D2310" s="698" t="s">
        <v>2248</v>
      </c>
      <c r="E2310" s="701" t="s">
        <v>10184</v>
      </c>
      <c r="F2310" s="551">
        <v>1</v>
      </c>
      <c r="G2310" s="663">
        <v>21651.92761190224</v>
      </c>
      <c r="H2310" s="663">
        <v>0</v>
      </c>
      <c r="I2310" s="663">
        <v>0</v>
      </c>
      <c r="J2310" s="663">
        <v>0</v>
      </c>
      <c r="K2310" s="654" t="s">
        <v>5389</v>
      </c>
      <c r="L2310"/>
      <c r="M2310" s="540"/>
      <c r="O2310" s="540"/>
    </row>
    <row r="2311" spans="1:15">
      <c r="A2311" s="565">
        <v>3005</v>
      </c>
      <c r="B2311" s="694" t="s">
        <v>7716</v>
      </c>
      <c r="C2311" s="566">
        <f t="shared" si="35"/>
        <v>3005</v>
      </c>
      <c r="D2311" s="698" t="s">
        <v>2248</v>
      </c>
      <c r="E2311" s="701" t="s">
        <v>10185</v>
      </c>
      <c r="F2311" s="551">
        <v>1</v>
      </c>
      <c r="G2311" s="663">
        <v>0</v>
      </c>
      <c r="H2311" s="663">
        <v>0</v>
      </c>
      <c r="I2311" s="663">
        <v>19959.028673821274</v>
      </c>
      <c r="J2311" s="663">
        <v>20553.159072113947</v>
      </c>
      <c r="K2311" s="654" t="s">
        <v>4246</v>
      </c>
      <c r="L2311"/>
      <c r="M2311" s="540"/>
      <c r="O2311" s="540"/>
    </row>
    <row r="2312" spans="1:15">
      <c r="A2312" s="565">
        <v>3006</v>
      </c>
      <c r="B2312" s="694" t="s">
        <v>7717</v>
      </c>
      <c r="C2312" s="566">
        <f t="shared" si="35"/>
        <v>3006</v>
      </c>
      <c r="D2312" s="698" t="s">
        <v>2248</v>
      </c>
      <c r="E2312" s="701" t="s">
        <v>10186</v>
      </c>
      <c r="F2312" s="551">
        <v>1</v>
      </c>
      <c r="G2312" s="663">
        <v>23902.402009086429</v>
      </c>
      <c r="H2312" s="663">
        <v>24629.114261287406</v>
      </c>
      <c r="I2312" s="663">
        <v>25393.959491462705</v>
      </c>
      <c r="J2312" s="663">
        <v>26199.216377564455</v>
      </c>
      <c r="K2312" s="654" t="s">
        <v>1540</v>
      </c>
      <c r="L2312"/>
      <c r="M2312" s="540"/>
      <c r="O2312" s="540"/>
    </row>
    <row r="2313" spans="1:15">
      <c r="A2313" s="565">
        <v>3007</v>
      </c>
      <c r="B2313" s="694" t="s">
        <v>7718</v>
      </c>
      <c r="C2313" s="566">
        <f t="shared" ref="C2313:C2376" si="36">A2313</f>
        <v>3007</v>
      </c>
      <c r="D2313" s="698" t="s">
        <v>2248</v>
      </c>
      <c r="E2313" s="701" t="s">
        <v>10187</v>
      </c>
      <c r="F2313" s="551">
        <v>1</v>
      </c>
      <c r="G2313" s="663">
        <v>0</v>
      </c>
      <c r="H2313" s="663">
        <v>21891.296394595247</v>
      </c>
      <c r="I2313" s="663">
        <v>22550.345862707625</v>
      </c>
      <c r="J2313" s="663">
        <v>23244.133543681994</v>
      </c>
      <c r="K2313" s="654" t="s">
        <v>3251</v>
      </c>
      <c r="L2313"/>
      <c r="M2313" s="540"/>
      <c r="O2313" s="540"/>
    </row>
    <row r="2314" spans="1:15">
      <c r="A2314" s="565">
        <v>3008</v>
      </c>
      <c r="B2314" s="694" t="s">
        <v>7719</v>
      </c>
      <c r="C2314" s="566">
        <f t="shared" si="36"/>
        <v>3008</v>
      </c>
      <c r="D2314" s="698" t="s">
        <v>2248</v>
      </c>
      <c r="E2314" s="701" t="s">
        <v>10188</v>
      </c>
      <c r="F2314" s="551">
        <v>1</v>
      </c>
      <c r="G2314" s="663">
        <v>0</v>
      </c>
      <c r="H2314" s="663">
        <v>0</v>
      </c>
      <c r="I2314" s="663">
        <v>20823.859616760772</v>
      </c>
      <c r="J2314" s="663">
        <v>21447.054784850949</v>
      </c>
      <c r="K2314" s="654" t="s">
        <v>4247</v>
      </c>
      <c r="L2314"/>
      <c r="M2314" s="540"/>
      <c r="O2314" s="540"/>
    </row>
    <row r="2315" spans="1:15">
      <c r="A2315" s="565">
        <v>3009</v>
      </c>
      <c r="B2315" s="694" t="s">
        <v>7720</v>
      </c>
      <c r="C2315" s="566">
        <f t="shared" si="36"/>
        <v>3009</v>
      </c>
      <c r="D2315" s="698" t="s">
        <v>2248</v>
      </c>
      <c r="E2315" s="701" t="s">
        <v>10189</v>
      </c>
      <c r="F2315" s="551">
        <v>1</v>
      </c>
      <c r="G2315" s="663">
        <v>0</v>
      </c>
      <c r="H2315" s="663">
        <v>0</v>
      </c>
      <c r="I2315" s="663">
        <v>24104.311218793107</v>
      </c>
      <c r="J2315" s="663">
        <v>25741.611082841984</v>
      </c>
      <c r="K2315" s="654" t="s">
        <v>4996</v>
      </c>
      <c r="L2315"/>
      <c r="M2315" s="540"/>
      <c r="O2315" s="540"/>
    </row>
    <row r="2316" spans="1:15">
      <c r="A2316" s="565">
        <v>3010</v>
      </c>
      <c r="B2316" s="694" t="s">
        <v>7721</v>
      </c>
      <c r="C2316" s="566">
        <f t="shared" si="36"/>
        <v>3010</v>
      </c>
      <c r="D2316" s="698" t="s">
        <v>2248</v>
      </c>
      <c r="E2316" s="701" t="s">
        <v>10190</v>
      </c>
      <c r="F2316" s="551">
        <v>1</v>
      </c>
      <c r="G2316" s="663">
        <v>0</v>
      </c>
      <c r="H2316" s="663">
        <v>0</v>
      </c>
      <c r="I2316" s="663">
        <v>22377.824972846247</v>
      </c>
      <c r="J2316" s="663">
        <v>23866.127201005198</v>
      </c>
      <c r="K2316" s="654" t="s">
        <v>4997</v>
      </c>
      <c r="L2316"/>
      <c r="M2316" s="540"/>
      <c r="O2316" s="540"/>
    </row>
    <row r="2317" spans="1:15">
      <c r="A2317" s="565">
        <v>3011</v>
      </c>
      <c r="B2317" s="694" t="s">
        <v>7722</v>
      </c>
      <c r="C2317" s="566">
        <f t="shared" si="36"/>
        <v>3011</v>
      </c>
      <c r="D2317" s="698" t="s">
        <v>2248</v>
      </c>
      <c r="E2317" s="701" t="s">
        <v>10191</v>
      </c>
      <c r="F2317" s="551">
        <v>1</v>
      </c>
      <c r="G2317" s="663">
        <v>18813.104868144557</v>
      </c>
      <c r="H2317" s="663">
        <v>19399.562167210694</v>
      </c>
      <c r="I2317" s="663">
        <v>19986.019466276823</v>
      </c>
      <c r="J2317" s="663">
        <v>20603.355176775833</v>
      </c>
      <c r="K2317" s="654" t="s">
        <v>1541</v>
      </c>
      <c r="L2317"/>
      <c r="M2317" s="540"/>
      <c r="O2317" s="540"/>
    </row>
    <row r="2318" spans="1:15">
      <c r="A2318" s="565">
        <v>3012</v>
      </c>
      <c r="B2318" s="694" t="s">
        <v>7723</v>
      </c>
      <c r="C2318" s="566">
        <f t="shared" si="36"/>
        <v>3012</v>
      </c>
      <c r="D2318" s="698" t="s">
        <v>2248</v>
      </c>
      <c r="E2318" s="701" t="s">
        <v>10192</v>
      </c>
      <c r="F2318" s="551">
        <v>1</v>
      </c>
      <c r="G2318" s="663">
        <v>20149.419363537443</v>
      </c>
      <c r="H2318" s="663">
        <v>20783.310366913105</v>
      </c>
      <c r="I2318" s="663">
        <v>21417.201370288767</v>
      </c>
      <c r="J2318" s="663">
        <v>22084.435477576128</v>
      </c>
      <c r="K2318" s="654" t="s">
        <v>1542</v>
      </c>
      <c r="L2318"/>
      <c r="M2318" s="540"/>
      <c r="O2318" s="540"/>
    </row>
    <row r="2319" spans="1:15">
      <c r="A2319" s="565">
        <v>3013</v>
      </c>
      <c r="B2319" s="694" t="s">
        <v>7724</v>
      </c>
      <c r="C2319" s="566">
        <f t="shared" si="36"/>
        <v>3013</v>
      </c>
      <c r="D2319" s="698" t="s">
        <v>2248</v>
      </c>
      <c r="E2319" s="701" t="s">
        <v>10193</v>
      </c>
      <c r="F2319" s="551">
        <v>1</v>
      </c>
      <c r="G2319" s="663">
        <v>19973.443692423178</v>
      </c>
      <c r="H2319" s="663">
        <v>20601.103209154262</v>
      </c>
      <c r="I2319" s="663">
        <v>21228.716222253661</v>
      </c>
      <c r="J2319" s="663">
        <v>21889.393317474707</v>
      </c>
      <c r="K2319" s="654" t="s">
        <v>1543</v>
      </c>
      <c r="L2319"/>
      <c r="M2319" s="540"/>
      <c r="O2319" s="540"/>
    </row>
    <row r="2320" spans="1:15">
      <c r="A2320" s="565">
        <v>3014</v>
      </c>
      <c r="B2320" s="694" t="s">
        <v>7725</v>
      </c>
      <c r="C2320" s="566">
        <f t="shared" si="36"/>
        <v>3014</v>
      </c>
      <c r="D2320" s="698" t="s">
        <v>2248</v>
      </c>
      <c r="E2320" s="701" t="s">
        <v>10194</v>
      </c>
      <c r="F2320" s="551">
        <v>1</v>
      </c>
      <c r="G2320" s="663">
        <v>18641.364927983199</v>
      </c>
      <c r="H2320" s="663">
        <v>19221.730251299774</v>
      </c>
      <c r="I2320" s="663">
        <v>19802.095574616356</v>
      </c>
      <c r="J2320" s="663">
        <v>20413.013783944072</v>
      </c>
      <c r="K2320" s="654" t="s">
        <v>1544</v>
      </c>
      <c r="L2320"/>
      <c r="M2320" s="540"/>
      <c r="O2320" s="540"/>
    </row>
    <row r="2321" spans="1:15">
      <c r="A2321" s="565">
        <v>3015</v>
      </c>
      <c r="B2321" s="694" t="s">
        <v>7726</v>
      </c>
      <c r="C2321" s="566">
        <f t="shared" si="36"/>
        <v>3015</v>
      </c>
      <c r="D2321" s="698" t="s">
        <v>2248</v>
      </c>
      <c r="E2321" s="701" t="s">
        <v>10195</v>
      </c>
      <c r="F2321" s="551">
        <v>1</v>
      </c>
      <c r="G2321" s="663">
        <v>19140.64875410384</v>
      </c>
      <c r="H2321" s="663">
        <v>19738.731961088983</v>
      </c>
      <c r="I2321" s="663">
        <v>20336.815168074118</v>
      </c>
      <c r="J2321" s="663">
        <v>20966.381333703903</v>
      </c>
      <c r="K2321" s="654" t="s">
        <v>1545</v>
      </c>
      <c r="L2321"/>
      <c r="M2321" s="540"/>
      <c r="O2321" s="540"/>
    </row>
    <row r="2322" spans="1:15">
      <c r="A2322" s="565">
        <v>3016</v>
      </c>
      <c r="B2322" s="694" t="s">
        <v>7727</v>
      </c>
      <c r="C2322" s="566">
        <f t="shared" si="36"/>
        <v>3016</v>
      </c>
      <c r="D2322" s="698" t="s">
        <v>2248</v>
      </c>
      <c r="E2322" s="701" t="s">
        <v>10196</v>
      </c>
      <c r="F2322" s="551">
        <v>1</v>
      </c>
      <c r="G2322" s="663">
        <v>18020.2788450396</v>
      </c>
      <c r="H2322" s="663">
        <v>18578.601446941753</v>
      </c>
      <c r="I2322" s="663">
        <v>19136.924048843906</v>
      </c>
      <c r="J2322" s="663">
        <v>19724.636945965289</v>
      </c>
      <c r="K2322" s="654" t="s">
        <v>1546</v>
      </c>
      <c r="L2322"/>
      <c r="M2322" s="540"/>
      <c r="O2322" s="540"/>
    </row>
    <row r="2323" spans="1:15">
      <c r="A2323" s="565">
        <v>3017</v>
      </c>
      <c r="B2323" s="694" t="s">
        <v>7728</v>
      </c>
      <c r="C2323" s="566">
        <f t="shared" si="36"/>
        <v>3017</v>
      </c>
      <c r="D2323" s="698" t="s">
        <v>2248</v>
      </c>
      <c r="E2323" s="701" t="s">
        <v>10197</v>
      </c>
      <c r="F2323" s="551">
        <v>1</v>
      </c>
      <c r="G2323" s="663">
        <v>18968.908813942489</v>
      </c>
      <c r="H2323" s="663">
        <v>19560.900045178063</v>
      </c>
      <c r="I2323" s="663">
        <v>20152.891276413644</v>
      </c>
      <c r="J2323" s="663">
        <v>20776.03994087215</v>
      </c>
      <c r="K2323" s="654" t="s">
        <v>1547</v>
      </c>
      <c r="L2323"/>
      <c r="M2323" s="540"/>
      <c r="O2323" s="540"/>
    </row>
    <row r="2324" spans="1:15">
      <c r="A2324" s="565">
        <v>3018</v>
      </c>
      <c r="B2324" s="694" t="s">
        <v>7729</v>
      </c>
      <c r="C2324" s="566">
        <f t="shared" si="36"/>
        <v>3018</v>
      </c>
      <c r="D2324" s="698" t="s">
        <v>2248</v>
      </c>
      <c r="E2324" s="701" t="s">
        <v>10198</v>
      </c>
      <c r="F2324" s="551">
        <v>1</v>
      </c>
      <c r="G2324" s="663">
        <v>17848.538904878245</v>
      </c>
      <c r="H2324" s="663">
        <v>18400.769531030837</v>
      </c>
      <c r="I2324" s="663">
        <v>18953.000157183433</v>
      </c>
      <c r="J2324" s="663">
        <v>19534.295553133528</v>
      </c>
      <c r="K2324" s="654" t="s">
        <v>1548</v>
      </c>
      <c r="L2324"/>
      <c r="M2324" s="540"/>
      <c r="O2324" s="540"/>
    </row>
    <row r="2325" spans="1:15">
      <c r="A2325" s="565">
        <v>3019</v>
      </c>
      <c r="B2325" s="694" t="s">
        <v>7730</v>
      </c>
      <c r="C2325" s="566">
        <f t="shared" si="36"/>
        <v>3019</v>
      </c>
      <c r="D2325" s="698" t="s">
        <v>2248</v>
      </c>
      <c r="E2325" s="701" t="s">
        <v>10199</v>
      </c>
      <c r="F2325" s="551">
        <v>1</v>
      </c>
      <c r="G2325" s="663">
        <v>24335.437622086956</v>
      </c>
      <c r="H2325" s="663">
        <v>25117.861225035784</v>
      </c>
      <c r="I2325" s="663">
        <v>25900.284827984618</v>
      </c>
      <c r="J2325" s="663">
        <v>26723.910648598383</v>
      </c>
      <c r="K2325" s="654" t="s">
        <v>1549</v>
      </c>
      <c r="L2325"/>
      <c r="M2325" s="540"/>
      <c r="O2325" s="540"/>
    </row>
    <row r="2326" spans="1:15">
      <c r="A2326" s="565">
        <v>3020</v>
      </c>
      <c r="B2326" s="694" t="s">
        <v>7731</v>
      </c>
      <c r="C2326" s="566">
        <f t="shared" si="36"/>
        <v>3020</v>
      </c>
      <c r="D2326" s="698" t="s">
        <v>2248</v>
      </c>
      <c r="E2326" s="701" t="s">
        <v>10200</v>
      </c>
      <c r="F2326" s="551">
        <v>1</v>
      </c>
      <c r="G2326" s="663">
        <v>0</v>
      </c>
      <c r="H2326" s="663">
        <v>0</v>
      </c>
      <c r="I2326" s="663">
        <v>27454.250184070086</v>
      </c>
      <c r="J2326" s="663">
        <v>29365.642453217355</v>
      </c>
      <c r="K2326" s="654" t="s">
        <v>4998</v>
      </c>
      <c r="L2326"/>
      <c r="M2326" s="540"/>
      <c r="O2326" s="540"/>
    </row>
    <row r="2327" spans="1:15">
      <c r="A2327" s="565">
        <v>3021</v>
      </c>
      <c r="B2327" s="694" t="s">
        <v>7732</v>
      </c>
      <c r="C2327" s="566">
        <f t="shared" si="36"/>
        <v>3021</v>
      </c>
      <c r="D2327" s="698" t="s">
        <v>2248</v>
      </c>
      <c r="E2327" s="701" t="s">
        <v>10201</v>
      </c>
      <c r="F2327" s="551">
        <v>1</v>
      </c>
      <c r="G2327" s="663">
        <v>0</v>
      </c>
      <c r="H2327" s="663">
        <v>0</v>
      </c>
      <c r="I2327" s="663">
        <v>25985.944517531818</v>
      </c>
      <c r="J2327" s="663">
        <v>27734.202046759659</v>
      </c>
      <c r="K2327" s="654" t="s">
        <v>4999</v>
      </c>
      <c r="L2327"/>
      <c r="M2327" s="540"/>
      <c r="O2327" s="540"/>
    </row>
    <row r="2328" spans="1:15">
      <c r="A2328" s="565">
        <v>3022</v>
      </c>
      <c r="B2328" s="694" t="s">
        <v>7733</v>
      </c>
      <c r="C2328" s="566">
        <f t="shared" si="36"/>
        <v>3022</v>
      </c>
      <c r="D2328" s="698" t="s">
        <v>2248</v>
      </c>
      <c r="E2328" s="701" t="s">
        <v>10202</v>
      </c>
      <c r="F2328" s="551">
        <v>1</v>
      </c>
      <c r="G2328" s="663">
        <v>0</v>
      </c>
      <c r="H2328" s="663">
        <v>0</v>
      </c>
      <c r="I2328" s="663">
        <v>27539.909873617293</v>
      </c>
      <c r="J2328" s="663">
        <v>29460.835387258143</v>
      </c>
      <c r="K2328" s="654" t="s">
        <v>5000</v>
      </c>
      <c r="L2328"/>
      <c r="M2328" s="540"/>
      <c r="O2328" s="540"/>
    </row>
    <row r="2329" spans="1:15">
      <c r="A2329" s="565">
        <v>3023</v>
      </c>
      <c r="B2329" s="694" t="s">
        <v>7734</v>
      </c>
      <c r="C2329" s="566">
        <f t="shared" si="36"/>
        <v>3023</v>
      </c>
      <c r="D2329" s="698" t="s">
        <v>2248</v>
      </c>
      <c r="E2329" s="701" t="s">
        <v>10203</v>
      </c>
      <c r="F2329" s="551">
        <v>1</v>
      </c>
      <c r="G2329" s="663">
        <v>26585.865515639474</v>
      </c>
      <c r="H2329" s="663">
        <v>27448.18235780768</v>
      </c>
      <c r="I2329" s="663">
        <v>0</v>
      </c>
      <c r="J2329" s="663">
        <v>0</v>
      </c>
      <c r="K2329" s="654" t="s">
        <v>1550</v>
      </c>
      <c r="L2329"/>
      <c r="M2329" s="540"/>
      <c r="O2329" s="540"/>
    </row>
    <row r="2330" spans="1:15">
      <c r="A2330" s="565">
        <v>3024</v>
      </c>
      <c r="B2330" s="694" t="s">
        <v>7735</v>
      </c>
      <c r="C2330" s="566">
        <f t="shared" si="36"/>
        <v>3024</v>
      </c>
      <c r="D2330" s="698" t="s">
        <v>2248</v>
      </c>
      <c r="E2330" s="701" t="s">
        <v>10204</v>
      </c>
      <c r="F2330" s="551">
        <v>1</v>
      </c>
      <c r="G2330" s="663">
        <v>0</v>
      </c>
      <c r="H2330" s="663">
        <v>0</v>
      </c>
      <c r="I2330" s="663">
        <v>17684.73187531111</v>
      </c>
      <c r="J2330" s="663">
        <v>18202.410303128428</v>
      </c>
      <c r="K2330" s="654" t="s">
        <v>4248</v>
      </c>
      <c r="L2330"/>
      <c r="M2330" s="540"/>
      <c r="O2330" s="540"/>
    </row>
    <row r="2331" spans="1:15">
      <c r="A2331" s="565">
        <v>3025</v>
      </c>
      <c r="B2331" s="694" t="s">
        <v>7736</v>
      </c>
      <c r="C2331" s="566">
        <f t="shared" si="36"/>
        <v>3025</v>
      </c>
      <c r="D2331" s="698" t="s">
        <v>2248</v>
      </c>
      <c r="E2331" s="701" t="s">
        <v>10205</v>
      </c>
      <c r="F2331" s="551">
        <v>1</v>
      </c>
      <c r="G2331" s="663">
        <v>0</v>
      </c>
      <c r="H2331" s="663">
        <v>0</v>
      </c>
      <c r="I2331" s="663">
        <v>16695.33741672559</v>
      </c>
      <c r="J2331" s="663">
        <v>17179.71924426288</v>
      </c>
      <c r="K2331" s="654" t="s">
        <v>4249</v>
      </c>
      <c r="L2331"/>
      <c r="M2331" s="540"/>
      <c r="O2331" s="540"/>
    </row>
    <row r="2332" spans="1:15">
      <c r="A2332" s="565">
        <v>3026</v>
      </c>
      <c r="B2332" s="694" t="s">
        <v>7737</v>
      </c>
      <c r="C2332" s="566">
        <f t="shared" si="36"/>
        <v>3026</v>
      </c>
      <c r="D2332" s="698" t="s">
        <v>2248</v>
      </c>
      <c r="E2332" s="701" t="s">
        <v>10206</v>
      </c>
      <c r="F2332" s="551">
        <v>1</v>
      </c>
      <c r="G2332" s="663">
        <v>15131.91230344989</v>
      </c>
      <c r="H2332" s="663">
        <v>0</v>
      </c>
      <c r="I2332" s="663">
        <v>0</v>
      </c>
      <c r="J2332" s="663">
        <v>0</v>
      </c>
      <c r="K2332" s="654" t="s">
        <v>5390</v>
      </c>
      <c r="L2332"/>
      <c r="M2332" s="540"/>
      <c r="O2332" s="540"/>
    </row>
    <row r="2333" spans="1:15">
      <c r="A2333" s="565">
        <v>3027</v>
      </c>
      <c r="B2333" s="694" t="s">
        <v>7738</v>
      </c>
      <c r="C2333" s="566">
        <f t="shared" si="36"/>
        <v>3027</v>
      </c>
      <c r="D2333" s="698" t="s">
        <v>2248</v>
      </c>
      <c r="E2333" s="701" t="s">
        <v>10207</v>
      </c>
      <c r="F2333" s="551">
        <v>1</v>
      </c>
      <c r="G2333" s="663">
        <v>14374.727478922163</v>
      </c>
      <c r="H2333" s="663">
        <v>14800.358822664644</v>
      </c>
      <c r="I2333" s="663">
        <v>0</v>
      </c>
      <c r="J2333" s="663">
        <v>0</v>
      </c>
      <c r="K2333" s="654" t="s">
        <v>1551</v>
      </c>
      <c r="L2333"/>
      <c r="M2333" s="540"/>
      <c r="O2333" s="540"/>
    </row>
    <row r="2334" spans="1:15">
      <c r="A2334" s="565">
        <v>3028</v>
      </c>
      <c r="B2334" s="694" t="s">
        <v>7739</v>
      </c>
      <c r="C2334" s="566">
        <f t="shared" si="36"/>
        <v>3028</v>
      </c>
      <c r="D2334" s="698" t="s">
        <v>2248</v>
      </c>
      <c r="E2334" s="701" t="s">
        <v>10208</v>
      </c>
      <c r="F2334" s="551">
        <v>1</v>
      </c>
      <c r="G2334" s="663">
        <v>15184.167105344581</v>
      </c>
      <c r="H2334" s="663">
        <v>0</v>
      </c>
      <c r="I2334" s="663">
        <v>0</v>
      </c>
      <c r="J2334" s="663">
        <v>0</v>
      </c>
      <c r="K2334" s="654" t="s">
        <v>5391</v>
      </c>
      <c r="L2334"/>
      <c r="M2334" s="540"/>
      <c r="O2334" s="540"/>
    </row>
    <row r="2335" spans="1:15">
      <c r="A2335" s="565">
        <v>3029</v>
      </c>
      <c r="B2335" s="694" t="s">
        <v>7740</v>
      </c>
      <c r="C2335" s="566">
        <f t="shared" si="36"/>
        <v>3029</v>
      </c>
      <c r="D2335" s="698" t="s">
        <v>2248</v>
      </c>
      <c r="E2335" s="701" t="s">
        <v>10209</v>
      </c>
      <c r="F2335" s="551">
        <v>1</v>
      </c>
      <c r="G2335" s="657">
        <v>14451.325371455601</v>
      </c>
      <c r="H2335" s="657">
        <v>0</v>
      </c>
      <c r="I2335" s="657">
        <v>0</v>
      </c>
      <c r="J2335" s="657">
        <v>0</v>
      </c>
      <c r="K2335" s="654" t="s">
        <v>5392</v>
      </c>
      <c r="M2335" s="540"/>
      <c r="O2335" s="540"/>
    </row>
    <row r="2336" spans="1:15">
      <c r="A2336" s="565">
        <v>3030</v>
      </c>
      <c r="B2336" s="694" t="s">
        <v>7741</v>
      </c>
      <c r="C2336" s="566">
        <f t="shared" si="36"/>
        <v>3030</v>
      </c>
      <c r="D2336" s="698" t="s">
        <v>2248</v>
      </c>
      <c r="E2336" s="701" t="s">
        <v>10210</v>
      </c>
      <c r="F2336" s="551">
        <v>1</v>
      </c>
      <c r="G2336" s="657">
        <v>15323.088407942663</v>
      </c>
      <c r="H2336" s="657">
        <v>0</v>
      </c>
      <c r="I2336" s="657">
        <v>0</v>
      </c>
      <c r="J2336" s="657">
        <v>0</v>
      </c>
      <c r="K2336" s="654" t="s">
        <v>5393</v>
      </c>
      <c r="M2336" s="540"/>
      <c r="O2336" s="540"/>
    </row>
    <row r="2337" spans="1:15">
      <c r="A2337" s="565">
        <v>3031</v>
      </c>
      <c r="B2337" s="694" t="s">
        <v>7742</v>
      </c>
      <c r="C2337" s="566">
        <f t="shared" si="36"/>
        <v>3031</v>
      </c>
      <c r="D2337" s="698" t="s">
        <v>2248</v>
      </c>
      <c r="E2337" s="701" t="s">
        <v>10211</v>
      </c>
      <c r="F2337" s="551">
        <v>1</v>
      </c>
      <c r="G2337" s="657">
        <v>14565.903583414942</v>
      </c>
      <c r="H2337" s="657">
        <v>0</v>
      </c>
      <c r="I2337" s="657">
        <v>0</v>
      </c>
      <c r="J2337" s="657">
        <v>0</v>
      </c>
      <c r="K2337" s="654" t="s">
        <v>5394</v>
      </c>
      <c r="M2337" s="540"/>
      <c r="O2337" s="540"/>
    </row>
    <row r="2338" spans="1:15">
      <c r="A2338" s="565">
        <v>3032</v>
      </c>
      <c r="B2338" s="694" t="s">
        <v>7743</v>
      </c>
      <c r="C2338" s="566">
        <f t="shared" si="36"/>
        <v>3032</v>
      </c>
      <c r="D2338" s="698" t="s">
        <v>2248</v>
      </c>
      <c r="E2338" s="701" t="s">
        <v>10212</v>
      </c>
      <c r="F2338" s="551">
        <v>1</v>
      </c>
      <c r="G2338" s="657">
        <v>15375.34320983736</v>
      </c>
      <c r="H2338" s="657">
        <v>0</v>
      </c>
      <c r="I2338" s="657">
        <v>0</v>
      </c>
      <c r="J2338" s="657">
        <v>0</v>
      </c>
      <c r="K2338" s="654" t="s">
        <v>5395</v>
      </c>
      <c r="M2338" s="540"/>
      <c r="O2338" s="540"/>
    </row>
    <row r="2339" spans="1:15">
      <c r="A2339" s="565">
        <v>3033</v>
      </c>
      <c r="B2339" s="694" t="s">
        <v>7744</v>
      </c>
      <c r="C2339" s="566">
        <f t="shared" si="36"/>
        <v>3033</v>
      </c>
      <c r="D2339" s="698" t="s">
        <v>2248</v>
      </c>
      <c r="E2339" s="701" t="s">
        <v>10213</v>
      </c>
      <c r="F2339" s="551">
        <v>1</v>
      </c>
      <c r="G2339" s="657">
        <v>14642.50147594838</v>
      </c>
      <c r="H2339" s="657">
        <v>0</v>
      </c>
      <c r="I2339" s="657">
        <v>0</v>
      </c>
      <c r="J2339" s="657">
        <v>0</v>
      </c>
      <c r="K2339" s="654" t="s">
        <v>5396</v>
      </c>
      <c r="M2339" s="540"/>
      <c r="O2339" s="540"/>
    </row>
    <row r="2340" spans="1:15">
      <c r="A2340" s="565">
        <v>3034</v>
      </c>
      <c r="B2340" s="694" t="s">
        <v>7745</v>
      </c>
      <c r="C2340" s="566">
        <f t="shared" si="36"/>
        <v>3034</v>
      </c>
      <c r="D2340" s="698" t="s">
        <v>2248</v>
      </c>
      <c r="E2340" s="701" t="s">
        <v>10214</v>
      </c>
      <c r="F2340" s="551">
        <v>1</v>
      </c>
      <c r="G2340" s="657">
        <v>15037.598758566781</v>
      </c>
      <c r="H2340" s="657">
        <v>0</v>
      </c>
      <c r="I2340" s="657">
        <v>0</v>
      </c>
      <c r="J2340" s="657">
        <v>0</v>
      </c>
      <c r="K2340" s="654" t="s">
        <v>5397</v>
      </c>
      <c r="M2340" s="540"/>
      <c r="O2340" s="540"/>
    </row>
    <row r="2341" spans="1:15">
      <c r="A2341" s="565">
        <v>3035</v>
      </c>
      <c r="B2341" s="694" t="s">
        <v>7746</v>
      </c>
      <c r="C2341" s="566">
        <f t="shared" si="36"/>
        <v>3035</v>
      </c>
      <c r="D2341" s="698" t="s">
        <v>2248</v>
      </c>
      <c r="E2341" s="701" t="s">
        <v>10215</v>
      </c>
      <c r="F2341" s="551">
        <v>1</v>
      </c>
      <c r="G2341" s="657">
        <v>15866.028544702152</v>
      </c>
      <c r="H2341" s="657">
        <v>16344.019131129684</v>
      </c>
      <c r="I2341" s="657">
        <v>16847.169353652622</v>
      </c>
      <c r="J2341" s="657">
        <v>17376.796693215158</v>
      </c>
      <c r="K2341" s="654" t="s">
        <v>1552</v>
      </c>
      <c r="M2341" s="540"/>
      <c r="O2341" s="540"/>
    </row>
    <row r="2342" spans="1:15">
      <c r="A2342" s="565">
        <v>3036</v>
      </c>
      <c r="B2342" s="694" t="s">
        <v>7747</v>
      </c>
      <c r="C2342" s="566">
        <f t="shared" si="36"/>
        <v>3036</v>
      </c>
      <c r="D2342" s="698" t="s">
        <v>2248</v>
      </c>
      <c r="E2342" s="701" t="s">
        <v>10216</v>
      </c>
      <c r="F2342" s="551">
        <v>1</v>
      </c>
      <c r="G2342" s="657">
        <v>17025.830245291672</v>
      </c>
      <c r="H2342" s="657">
        <v>0</v>
      </c>
      <c r="I2342" s="657">
        <v>0</v>
      </c>
      <c r="J2342" s="657">
        <v>0</v>
      </c>
      <c r="K2342" s="654" t="s">
        <v>5398</v>
      </c>
      <c r="M2342" s="540"/>
      <c r="O2342" s="540"/>
    </row>
    <row r="2343" spans="1:15">
      <c r="A2343" s="565">
        <v>3037</v>
      </c>
      <c r="B2343" s="694" t="s">
        <v>7748</v>
      </c>
      <c r="C2343" s="566">
        <f t="shared" si="36"/>
        <v>3037</v>
      </c>
      <c r="D2343" s="698" t="s">
        <v>2248</v>
      </c>
      <c r="E2343" s="701" t="s">
        <v>10217</v>
      </c>
      <c r="F2343" s="551">
        <v>1</v>
      </c>
      <c r="G2343" s="657">
        <v>16777.301309451064</v>
      </c>
      <c r="H2343" s="657">
        <v>17287.293933006702</v>
      </c>
      <c r="I2343" s="657">
        <v>17824.103668684318</v>
      </c>
      <c r="J2343" s="657">
        <v>18389.175495583968</v>
      </c>
      <c r="K2343" s="654" t="s">
        <v>1553</v>
      </c>
      <c r="M2343" s="540"/>
      <c r="O2343" s="540"/>
    </row>
    <row r="2344" spans="1:15">
      <c r="A2344" s="565">
        <v>3038</v>
      </c>
      <c r="B2344" s="694" t="s">
        <v>7749</v>
      </c>
      <c r="C2344" s="566">
        <f t="shared" si="36"/>
        <v>3038</v>
      </c>
      <c r="D2344" s="698" t="s">
        <v>2248</v>
      </c>
      <c r="E2344" s="701" t="s">
        <v>10218</v>
      </c>
      <c r="F2344" s="551">
        <v>1</v>
      </c>
      <c r="G2344" s="657">
        <v>0</v>
      </c>
      <c r="H2344" s="657">
        <v>0</v>
      </c>
      <c r="I2344" s="657">
        <v>25010.209704236833</v>
      </c>
      <c r="J2344" s="657">
        <v>25864.360367428086</v>
      </c>
      <c r="K2344" s="654" t="s">
        <v>4250</v>
      </c>
      <c r="M2344" s="540"/>
      <c r="O2344" s="540"/>
    </row>
    <row r="2345" spans="1:15">
      <c r="A2345" s="565">
        <v>3039</v>
      </c>
      <c r="B2345" s="694" t="s">
        <v>7750</v>
      </c>
      <c r="C2345" s="566">
        <f t="shared" si="36"/>
        <v>3039</v>
      </c>
      <c r="D2345" s="698" t="s">
        <v>2248</v>
      </c>
      <c r="E2345" s="701" t="s">
        <v>10219</v>
      </c>
      <c r="F2345" s="551">
        <v>1</v>
      </c>
      <c r="G2345" s="657">
        <v>27656.056714798608</v>
      </c>
      <c r="H2345" s="657">
        <v>28578.219267476627</v>
      </c>
      <c r="I2345" s="657">
        <v>0</v>
      </c>
      <c r="J2345" s="657">
        <v>0</v>
      </c>
      <c r="K2345" s="654" t="s">
        <v>1554</v>
      </c>
      <c r="M2345" s="540"/>
      <c r="O2345" s="540"/>
    </row>
    <row r="2346" spans="1:15">
      <c r="A2346" s="565">
        <v>3040</v>
      </c>
      <c r="B2346" s="694" t="s">
        <v>7751</v>
      </c>
      <c r="C2346" s="566">
        <f t="shared" si="36"/>
        <v>3040</v>
      </c>
      <c r="D2346" s="698" t="s">
        <v>2248</v>
      </c>
      <c r="E2346" s="701" t="s">
        <v>10220</v>
      </c>
      <c r="F2346" s="551">
        <v>1</v>
      </c>
      <c r="G2346" s="657">
        <v>36518.253511260744</v>
      </c>
      <c r="H2346" s="657">
        <v>37762.043237355698</v>
      </c>
      <c r="I2346" s="657">
        <v>0</v>
      </c>
      <c r="J2346" s="657">
        <v>0</v>
      </c>
      <c r="K2346" s="654" t="s">
        <v>1555</v>
      </c>
      <c r="M2346" s="540"/>
      <c r="O2346" s="540"/>
    </row>
    <row r="2347" spans="1:15">
      <c r="A2347" s="565">
        <v>3041</v>
      </c>
      <c r="B2347" s="694" t="s">
        <v>7752</v>
      </c>
      <c r="C2347" s="566">
        <f t="shared" si="36"/>
        <v>3041</v>
      </c>
      <c r="D2347" s="698" t="s">
        <v>2248</v>
      </c>
      <c r="E2347" s="701" t="s">
        <v>10221</v>
      </c>
      <c r="F2347" s="551">
        <v>1</v>
      </c>
      <c r="G2347" s="657">
        <v>32870.221719165587</v>
      </c>
      <c r="H2347" s="657">
        <v>33981.600940846154</v>
      </c>
      <c r="I2347" s="657">
        <v>0</v>
      </c>
      <c r="J2347" s="657">
        <v>0</v>
      </c>
      <c r="K2347" s="654" t="s">
        <v>1556</v>
      </c>
      <c r="M2347" s="540"/>
      <c r="O2347" s="540"/>
    </row>
    <row r="2348" spans="1:15">
      <c r="A2348" s="565">
        <v>3042</v>
      </c>
      <c r="B2348" s="694" t="s">
        <v>7753</v>
      </c>
      <c r="C2348" s="566">
        <f t="shared" si="36"/>
        <v>3042</v>
      </c>
      <c r="D2348" s="698" t="s">
        <v>2248</v>
      </c>
      <c r="E2348" s="701" t="s">
        <v>10222</v>
      </c>
      <c r="F2348" s="551">
        <v>1</v>
      </c>
      <c r="G2348" s="657">
        <v>0</v>
      </c>
      <c r="H2348" s="657">
        <v>20200.154154583724</v>
      </c>
      <c r="I2348" s="657">
        <v>20873.503876859588</v>
      </c>
      <c r="J2348" s="657">
        <v>21582.300279937226</v>
      </c>
      <c r="K2348" s="654" t="s">
        <v>3252</v>
      </c>
      <c r="M2348" s="540"/>
      <c r="O2348" s="540"/>
    </row>
    <row r="2349" spans="1:15">
      <c r="A2349" s="565">
        <v>3043</v>
      </c>
      <c r="B2349" s="694" t="s">
        <v>7754</v>
      </c>
      <c r="C2349" s="566">
        <f t="shared" si="36"/>
        <v>3043</v>
      </c>
      <c r="D2349" s="698" t="s">
        <v>2248</v>
      </c>
      <c r="E2349" s="701" t="s">
        <v>10223</v>
      </c>
      <c r="F2349" s="551">
        <v>1</v>
      </c>
      <c r="G2349" s="657">
        <v>0</v>
      </c>
      <c r="H2349" s="657">
        <v>21070.458447327019</v>
      </c>
      <c r="I2349" s="657">
        <v>0</v>
      </c>
      <c r="J2349" s="657">
        <v>0</v>
      </c>
      <c r="K2349" s="654" t="s">
        <v>3253</v>
      </c>
      <c r="M2349" s="540"/>
      <c r="O2349" s="540"/>
    </row>
    <row r="2350" spans="1:15">
      <c r="A2350" s="565">
        <v>3044</v>
      </c>
      <c r="B2350" s="694" t="s">
        <v>7755</v>
      </c>
      <c r="C2350" s="566">
        <f t="shared" si="36"/>
        <v>3044</v>
      </c>
      <c r="D2350" s="698" t="s">
        <v>2248</v>
      </c>
      <c r="E2350" s="701" t="s">
        <v>10224</v>
      </c>
      <c r="F2350" s="551">
        <v>1</v>
      </c>
      <c r="G2350" s="657">
        <v>0</v>
      </c>
      <c r="H2350" s="657">
        <v>0</v>
      </c>
      <c r="I2350" s="657">
        <v>0</v>
      </c>
      <c r="J2350" s="657">
        <v>24187.992168816054</v>
      </c>
      <c r="K2350" s="654" t="s">
        <v>5001</v>
      </c>
      <c r="M2350" s="540"/>
      <c r="O2350" s="540"/>
    </row>
    <row r="2351" spans="1:15">
      <c r="A2351" s="565">
        <v>3045</v>
      </c>
      <c r="B2351" s="694" t="s">
        <v>7756</v>
      </c>
      <c r="C2351" s="566">
        <f t="shared" si="36"/>
        <v>3045</v>
      </c>
      <c r="D2351" s="698" t="s">
        <v>2248</v>
      </c>
      <c r="E2351" s="701" t="s">
        <v>10225</v>
      </c>
      <c r="F2351" s="551">
        <v>1</v>
      </c>
      <c r="G2351" s="657">
        <v>0</v>
      </c>
      <c r="H2351" s="657">
        <v>22989.738775032412</v>
      </c>
      <c r="I2351" s="657">
        <v>0</v>
      </c>
      <c r="J2351" s="657">
        <v>0</v>
      </c>
      <c r="K2351" s="654" t="s">
        <v>3254</v>
      </c>
      <c r="M2351" s="540"/>
      <c r="O2351" s="540"/>
    </row>
    <row r="2352" spans="1:15">
      <c r="A2352" s="565">
        <v>3046</v>
      </c>
      <c r="B2352" s="694" t="s">
        <v>7757</v>
      </c>
      <c r="C2352" s="566">
        <f t="shared" si="36"/>
        <v>3046</v>
      </c>
      <c r="D2352" s="698" t="s">
        <v>2248</v>
      </c>
      <c r="E2352" s="701" t="s">
        <v>10226</v>
      </c>
      <c r="F2352" s="551">
        <v>1</v>
      </c>
      <c r="G2352" s="657">
        <v>0</v>
      </c>
      <c r="H2352" s="657">
        <v>24834.092243097664</v>
      </c>
      <c r="I2352" s="657">
        <v>25681.610946655041</v>
      </c>
      <c r="J2352" s="657">
        <v>26573.769599196334</v>
      </c>
      <c r="K2352" s="654" t="s">
        <v>3255</v>
      </c>
      <c r="M2352" s="540"/>
      <c r="O2352" s="540"/>
    </row>
    <row r="2353" spans="1:15">
      <c r="A2353" s="565">
        <v>3047</v>
      </c>
      <c r="B2353" s="694" t="s">
        <v>7758</v>
      </c>
      <c r="C2353" s="566">
        <f t="shared" si="36"/>
        <v>3047</v>
      </c>
      <c r="D2353" s="698" t="s">
        <v>2248</v>
      </c>
      <c r="E2353" s="701" t="s">
        <v>10227</v>
      </c>
      <c r="F2353" s="551">
        <v>1</v>
      </c>
      <c r="G2353" s="657">
        <v>0</v>
      </c>
      <c r="H2353" s="657">
        <v>25456.561538569676</v>
      </c>
      <c r="I2353" s="657">
        <v>26327.497920282553</v>
      </c>
      <c r="J2353" s="657">
        <v>27244.263429948183</v>
      </c>
      <c r="K2353" s="654" t="s">
        <v>3256</v>
      </c>
      <c r="M2353" s="540"/>
      <c r="O2353" s="540"/>
    </row>
    <row r="2354" spans="1:15">
      <c r="A2354" s="565">
        <v>3048</v>
      </c>
      <c r="B2354" s="694" t="s">
        <v>7759</v>
      </c>
      <c r="C2354" s="566">
        <f t="shared" si="36"/>
        <v>3048</v>
      </c>
      <c r="D2354" s="698" t="s">
        <v>2248</v>
      </c>
      <c r="E2354" s="701" t="s">
        <v>10228</v>
      </c>
      <c r="F2354" s="551">
        <v>1</v>
      </c>
      <c r="G2354" s="657">
        <v>0</v>
      </c>
      <c r="H2354" s="657">
        <v>27300.915006634928</v>
      </c>
      <c r="I2354" s="657">
        <v>0</v>
      </c>
      <c r="J2354" s="657">
        <v>0</v>
      </c>
      <c r="K2354" s="654" t="s">
        <v>3257</v>
      </c>
      <c r="M2354" s="540"/>
      <c r="O2354" s="540"/>
    </row>
    <row r="2355" spans="1:15">
      <c r="A2355" s="565">
        <v>3049</v>
      </c>
      <c r="B2355" s="694" t="s">
        <v>7760</v>
      </c>
      <c r="C2355" s="566">
        <f t="shared" si="36"/>
        <v>3049</v>
      </c>
      <c r="D2355" s="698" t="s">
        <v>2248</v>
      </c>
      <c r="E2355" s="701" t="s">
        <v>10229</v>
      </c>
      <c r="F2355" s="551">
        <v>2</v>
      </c>
      <c r="G2355" s="657">
        <v>12539.395665074349</v>
      </c>
      <c r="H2355" s="657">
        <v>12921.797792008052</v>
      </c>
      <c r="I2355" s="657">
        <v>13324.311268440362</v>
      </c>
      <c r="J2355" s="657">
        <v>13748.024742919646</v>
      </c>
      <c r="K2355" s="654" t="s">
        <v>1557</v>
      </c>
      <c r="M2355" s="540"/>
      <c r="O2355" s="540"/>
    </row>
    <row r="2356" spans="1:15">
      <c r="A2356" s="565">
        <v>3050</v>
      </c>
      <c r="B2356" s="694" t="s">
        <v>7761</v>
      </c>
      <c r="C2356" s="566">
        <f t="shared" si="36"/>
        <v>3050</v>
      </c>
      <c r="D2356" s="698" t="s">
        <v>2248</v>
      </c>
      <c r="E2356" s="701" t="s">
        <v>10230</v>
      </c>
      <c r="F2356" s="551">
        <v>2</v>
      </c>
      <c r="G2356" s="657">
        <v>11988.777897042381</v>
      </c>
      <c r="H2356" s="657">
        <v>12340.525972746007</v>
      </c>
      <c r="I2356" s="657">
        <v>12710.781073771712</v>
      </c>
      <c r="J2356" s="657">
        <v>13100.517254083827</v>
      </c>
      <c r="K2356" s="654" t="s">
        <v>1558</v>
      </c>
      <c r="M2356" s="540"/>
      <c r="O2356" s="540"/>
    </row>
    <row r="2357" spans="1:15">
      <c r="A2357" s="565">
        <v>3051</v>
      </c>
      <c r="B2357" s="694" t="s">
        <v>7762</v>
      </c>
      <c r="C2357" s="566">
        <f t="shared" si="36"/>
        <v>3051</v>
      </c>
      <c r="D2357" s="698" t="s">
        <v>2248</v>
      </c>
      <c r="E2357" s="701" t="s">
        <v>10231</v>
      </c>
      <c r="F2357" s="551">
        <v>2</v>
      </c>
      <c r="G2357" s="657">
        <v>13806.345920964435</v>
      </c>
      <c r="H2357" s="657">
        <v>14243.008583439972</v>
      </c>
      <c r="I2357" s="657">
        <v>14702.647460015065</v>
      </c>
      <c r="J2357" s="657">
        <v>15186.465793822101</v>
      </c>
      <c r="K2357" s="654" t="s">
        <v>1559</v>
      </c>
      <c r="M2357" s="540"/>
      <c r="O2357" s="540"/>
    </row>
    <row r="2358" spans="1:15">
      <c r="A2358" s="565">
        <v>3052</v>
      </c>
      <c r="B2358" s="694" t="s">
        <v>7763</v>
      </c>
      <c r="C2358" s="566">
        <f t="shared" si="36"/>
        <v>3052</v>
      </c>
      <c r="D2358" s="698" t="s">
        <v>2248</v>
      </c>
      <c r="E2358" s="701" t="s">
        <v>10232</v>
      </c>
      <c r="F2358" s="551">
        <v>2</v>
      </c>
      <c r="G2358" s="657">
        <v>14325.763557891061</v>
      </c>
      <c r="H2358" s="657">
        <v>14784.714866961929</v>
      </c>
      <c r="I2358" s="657">
        <v>15267.788335972718</v>
      </c>
      <c r="J2358" s="657">
        <v>15776.301802639879</v>
      </c>
      <c r="K2358" s="654" t="s">
        <v>1560</v>
      </c>
      <c r="M2358" s="540"/>
      <c r="O2358" s="540"/>
    </row>
    <row r="2359" spans="1:15">
      <c r="A2359" s="565">
        <v>3053</v>
      </c>
      <c r="B2359" s="694" t="s">
        <v>7764</v>
      </c>
      <c r="C2359" s="566">
        <f t="shared" si="36"/>
        <v>3053</v>
      </c>
      <c r="D2359" s="698" t="s">
        <v>2248</v>
      </c>
      <c r="E2359" s="701" t="s">
        <v>10233</v>
      </c>
      <c r="F2359" s="551">
        <v>2</v>
      </c>
      <c r="G2359" s="657">
        <v>14115.832873121675</v>
      </c>
      <c r="H2359" s="657">
        <v>14556.907427082666</v>
      </c>
      <c r="I2359" s="657">
        <v>15021.187384311281</v>
      </c>
      <c r="J2359" s="657">
        <v>15509.933285231938</v>
      </c>
      <c r="K2359" s="654" t="s">
        <v>1561</v>
      </c>
      <c r="M2359" s="540"/>
      <c r="O2359" s="540"/>
    </row>
    <row r="2360" spans="1:15">
      <c r="A2360" s="565">
        <v>3054</v>
      </c>
      <c r="B2360" s="694" t="s">
        <v>7765</v>
      </c>
      <c r="C2360" s="566">
        <f t="shared" si="36"/>
        <v>3054</v>
      </c>
      <c r="D2360" s="698" t="s">
        <v>2248</v>
      </c>
      <c r="E2360" s="701" t="s">
        <v>10234</v>
      </c>
      <c r="F2360" s="551">
        <v>1</v>
      </c>
      <c r="G2360" s="657">
        <v>0</v>
      </c>
      <c r="H2360" s="657">
        <v>0</v>
      </c>
      <c r="I2360" s="657">
        <v>19460.832756466752</v>
      </c>
      <c r="J2360" s="657">
        <v>19966.120003119035</v>
      </c>
      <c r="K2360" s="654" t="s">
        <v>4255</v>
      </c>
      <c r="M2360" s="540"/>
      <c r="O2360" s="540"/>
    </row>
    <row r="2361" spans="1:15">
      <c r="A2361" s="565">
        <v>3055</v>
      </c>
      <c r="B2361" s="694" t="s">
        <v>7766</v>
      </c>
      <c r="C2361" s="566">
        <f t="shared" si="36"/>
        <v>3055</v>
      </c>
      <c r="D2361" s="698" t="s">
        <v>2248</v>
      </c>
      <c r="E2361" s="701" t="s">
        <v>10235</v>
      </c>
      <c r="F2361" s="551">
        <v>1</v>
      </c>
      <c r="G2361" s="657">
        <v>0</v>
      </c>
      <c r="H2361" s="657">
        <v>0</v>
      </c>
      <c r="I2361" s="657">
        <v>13468.584164522834</v>
      </c>
      <c r="J2361" s="657">
        <v>13797.56783872784</v>
      </c>
      <c r="K2361" s="654" t="s">
        <v>4251</v>
      </c>
      <c r="M2361" s="540"/>
      <c r="O2361" s="540"/>
    </row>
    <row r="2362" spans="1:15">
      <c r="A2362" s="565">
        <v>3056</v>
      </c>
      <c r="B2362" s="694" t="s">
        <v>7767</v>
      </c>
      <c r="C2362" s="566">
        <f t="shared" si="36"/>
        <v>3056</v>
      </c>
      <c r="D2362" s="698" t="s">
        <v>2248</v>
      </c>
      <c r="E2362" s="701" t="s">
        <v>10236</v>
      </c>
      <c r="F2362" s="551">
        <v>1</v>
      </c>
      <c r="G2362" s="657">
        <v>0</v>
      </c>
      <c r="H2362" s="657">
        <v>0</v>
      </c>
      <c r="I2362" s="657">
        <v>14096.333250696547</v>
      </c>
      <c r="J2362" s="657">
        <v>14443.806317444081</v>
      </c>
      <c r="K2362" s="654" t="s">
        <v>4252</v>
      </c>
      <c r="M2362" s="540"/>
      <c r="O2362" s="540"/>
    </row>
    <row r="2363" spans="1:15">
      <c r="A2363" s="565">
        <v>3057</v>
      </c>
      <c r="B2363" s="694" t="s">
        <v>7768</v>
      </c>
      <c r="C2363" s="566">
        <f t="shared" si="36"/>
        <v>3057</v>
      </c>
      <c r="D2363" s="698" t="s">
        <v>2248</v>
      </c>
      <c r="E2363" s="701" t="s">
        <v>10237</v>
      </c>
      <c r="F2363" s="551">
        <v>1</v>
      </c>
      <c r="G2363" s="657">
        <v>0</v>
      </c>
      <c r="H2363" s="657">
        <v>0</v>
      </c>
      <c r="I2363" s="657">
        <v>14523.116192243217</v>
      </c>
      <c r="J2363" s="657">
        <v>14883.139227794574</v>
      </c>
      <c r="K2363" s="654" t="s">
        <v>4253</v>
      </c>
      <c r="M2363" s="540"/>
      <c r="O2363" s="540"/>
    </row>
    <row r="2364" spans="1:15">
      <c r="A2364" s="565">
        <v>3058</v>
      </c>
      <c r="B2364" s="694" t="s">
        <v>7769</v>
      </c>
      <c r="C2364" s="566">
        <f t="shared" si="36"/>
        <v>3058</v>
      </c>
      <c r="D2364" s="698" t="s">
        <v>2248</v>
      </c>
      <c r="E2364" s="701" t="s">
        <v>10238</v>
      </c>
      <c r="F2364" s="551">
        <v>1</v>
      </c>
      <c r="G2364" s="657">
        <v>0</v>
      </c>
      <c r="H2364" s="657">
        <v>0</v>
      </c>
      <c r="I2364" s="657">
        <v>15160.589446705342</v>
      </c>
      <c r="J2364" s="657">
        <v>15539.370323329789</v>
      </c>
      <c r="K2364" s="654" t="s">
        <v>4254</v>
      </c>
      <c r="M2364" s="540"/>
      <c r="O2364" s="540"/>
    </row>
    <row r="2365" spans="1:15">
      <c r="A2365" s="565">
        <v>3059</v>
      </c>
      <c r="B2365" s="694" t="s">
        <v>7770</v>
      </c>
      <c r="C2365" s="566">
        <f t="shared" si="36"/>
        <v>3059</v>
      </c>
      <c r="D2365" s="698" t="s">
        <v>2248</v>
      </c>
      <c r="E2365" s="701" t="s">
        <v>10239</v>
      </c>
      <c r="F2365" s="551">
        <v>1</v>
      </c>
      <c r="G2365" s="657">
        <v>0</v>
      </c>
      <c r="H2365" s="657">
        <v>0</v>
      </c>
      <c r="I2365" s="657">
        <v>15560.36080967311</v>
      </c>
      <c r="J2365" s="657">
        <v>15950.886309509693</v>
      </c>
      <c r="K2365" s="654" t="s">
        <v>4256</v>
      </c>
      <c r="M2365" s="540"/>
      <c r="O2365" s="540"/>
    </row>
    <row r="2366" spans="1:15">
      <c r="A2366" s="565">
        <v>3060</v>
      </c>
      <c r="B2366" s="694" t="s">
        <v>7771</v>
      </c>
      <c r="C2366" s="566">
        <f t="shared" si="36"/>
        <v>3060</v>
      </c>
      <c r="D2366" s="698" t="s">
        <v>2248</v>
      </c>
      <c r="E2366" s="701" t="s">
        <v>10240</v>
      </c>
      <c r="F2366" s="551">
        <v>1</v>
      </c>
      <c r="G2366" s="657">
        <v>0</v>
      </c>
      <c r="H2366" s="657">
        <v>0</v>
      </c>
      <c r="I2366" s="657">
        <v>14609.553243695711</v>
      </c>
      <c r="J2366" s="657">
        <v>14972.12654028742</v>
      </c>
      <c r="K2366" s="654" t="s">
        <v>4257</v>
      </c>
      <c r="M2366" s="540"/>
      <c r="O2366" s="540"/>
    </row>
    <row r="2367" spans="1:15">
      <c r="A2367" s="565">
        <v>3061</v>
      </c>
      <c r="B2367" s="694" t="s">
        <v>7772</v>
      </c>
      <c r="C2367" s="566">
        <f t="shared" si="36"/>
        <v>3061</v>
      </c>
      <c r="D2367" s="698" t="s">
        <v>2248</v>
      </c>
      <c r="E2367" s="701" t="s">
        <v>10241</v>
      </c>
      <c r="F2367" s="551">
        <v>1</v>
      </c>
      <c r="G2367" s="657">
        <v>19254.627409964392</v>
      </c>
      <c r="H2367" s="657">
        <v>19706.673544274272</v>
      </c>
      <c r="I2367" s="657">
        <v>0</v>
      </c>
      <c r="J2367" s="657">
        <v>0</v>
      </c>
      <c r="K2367" s="654" t="s">
        <v>1562</v>
      </c>
      <c r="M2367" s="540"/>
      <c r="O2367" s="540"/>
    </row>
    <row r="2368" spans="1:15">
      <c r="A2368" s="565">
        <v>3062</v>
      </c>
      <c r="B2368" s="694" t="s">
        <v>7773</v>
      </c>
      <c r="C2368" s="566">
        <f t="shared" si="36"/>
        <v>3062</v>
      </c>
      <c r="D2368" s="698" t="s">
        <v>2248</v>
      </c>
      <c r="E2368" s="701" t="s">
        <v>10242</v>
      </c>
      <c r="F2368" s="551">
        <v>1</v>
      </c>
      <c r="G2368" s="657">
        <v>20194.090498407746</v>
      </c>
      <c r="H2368" s="657">
        <v>0</v>
      </c>
      <c r="I2368" s="657">
        <v>0</v>
      </c>
      <c r="J2368" s="657">
        <v>0</v>
      </c>
      <c r="K2368" s="654" t="s">
        <v>5399</v>
      </c>
      <c r="M2368" s="540"/>
      <c r="O2368" s="540"/>
    </row>
    <row r="2369" spans="1:15">
      <c r="A2369" s="565">
        <v>3063</v>
      </c>
      <c r="B2369" s="694" t="s">
        <v>7774</v>
      </c>
      <c r="C2369" s="566">
        <f t="shared" si="36"/>
        <v>3063</v>
      </c>
      <c r="D2369" s="698" t="s">
        <v>2248</v>
      </c>
      <c r="E2369" s="701" t="s">
        <v>10243</v>
      </c>
      <c r="F2369" s="551">
        <v>1</v>
      </c>
      <c r="G2369" s="657">
        <v>17529.14268989065</v>
      </c>
      <c r="H2369" s="657">
        <v>17935.008296298685</v>
      </c>
      <c r="I2369" s="657">
        <v>0</v>
      </c>
      <c r="J2369" s="657">
        <v>0</v>
      </c>
      <c r="K2369" s="654" t="s">
        <v>1563</v>
      </c>
      <c r="M2369" s="540"/>
      <c r="O2369" s="540"/>
    </row>
    <row r="2370" spans="1:15">
      <c r="A2370" s="565">
        <v>3064</v>
      </c>
      <c r="B2370" s="694" t="s">
        <v>7775</v>
      </c>
      <c r="C2370" s="566">
        <f t="shared" si="36"/>
        <v>3064</v>
      </c>
      <c r="D2370" s="698" t="s">
        <v>2248</v>
      </c>
      <c r="E2370" s="701" t="s">
        <v>10244</v>
      </c>
      <c r="F2370" s="551">
        <v>1</v>
      </c>
      <c r="G2370" s="657">
        <v>17788.780686296221</v>
      </c>
      <c r="H2370" s="657">
        <v>0</v>
      </c>
      <c r="I2370" s="657">
        <v>0</v>
      </c>
      <c r="J2370" s="657">
        <v>0</v>
      </c>
      <c r="K2370" s="654" t="s">
        <v>5400</v>
      </c>
      <c r="M2370" s="540"/>
      <c r="O2370" s="540"/>
    </row>
    <row r="2371" spans="1:15">
      <c r="A2371" s="565">
        <v>3065</v>
      </c>
      <c r="B2371" s="694" t="s">
        <v>7776</v>
      </c>
      <c r="C2371" s="566">
        <f t="shared" si="36"/>
        <v>3065</v>
      </c>
      <c r="D2371" s="698" t="s">
        <v>2248</v>
      </c>
      <c r="E2371" s="701" t="s">
        <v>10245</v>
      </c>
      <c r="F2371" s="551">
        <v>2</v>
      </c>
      <c r="G2371" s="657">
        <v>17448.606766471657</v>
      </c>
      <c r="H2371" s="657">
        <v>18004.10401259426</v>
      </c>
      <c r="I2371" s="657">
        <v>18588.822877646464</v>
      </c>
      <c r="J2371" s="657">
        <v>19204.310388512782</v>
      </c>
      <c r="K2371" s="654" t="s">
        <v>1564</v>
      </c>
      <c r="M2371" s="540"/>
      <c r="O2371" s="540"/>
    </row>
    <row r="2372" spans="1:15">
      <c r="A2372" s="565">
        <v>3066</v>
      </c>
      <c r="B2372" s="694" t="s">
        <v>7777</v>
      </c>
      <c r="C2372" s="566">
        <f t="shared" si="36"/>
        <v>3066</v>
      </c>
      <c r="D2372" s="698" t="s">
        <v>2248</v>
      </c>
      <c r="E2372" s="701" t="s">
        <v>10246</v>
      </c>
      <c r="F2372" s="551">
        <v>2</v>
      </c>
      <c r="G2372" s="657">
        <v>14309.351660834836</v>
      </c>
      <c r="H2372" s="657">
        <v>14738.794864515998</v>
      </c>
      <c r="I2372" s="657">
        <v>15190.813201252586</v>
      </c>
      <c r="J2372" s="657">
        <v>15666.667211469006</v>
      </c>
      <c r="K2372" s="654" t="s">
        <v>1565</v>
      </c>
      <c r="M2372" s="540"/>
      <c r="O2372" s="540"/>
    </row>
    <row r="2373" spans="1:15">
      <c r="A2373" s="565">
        <v>3067</v>
      </c>
      <c r="B2373" s="694" t="s">
        <v>7778</v>
      </c>
      <c r="C2373" s="566">
        <f t="shared" si="36"/>
        <v>3067</v>
      </c>
      <c r="D2373" s="698" t="s">
        <v>2248</v>
      </c>
      <c r="E2373" s="701" t="s">
        <v>10247</v>
      </c>
      <c r="F2373" s="551">
        <v>2</v>
      </c>
      <c r="G2373" s="657">
        <v>15736.285799760662</v>
      </c>
      <c r="H2373" s="657">
        <v>16223.026295460661</v>
      </c>
      <c r="I2373" s="657">
        <v>16735.37868069308</v>
      </c>
      <c r="J2373" s="657">
        <v>17274.718090466369</v>
      </c>
      <c r="K2373" s="654" t="s">
        <v>1566</v>
      </c>
      <c r="M2373" s="540"/>
      <c r="O2373" s="540"/>
    </row>
    <row r="2374" spans="1:15">
      <c r="A2374" s="565">
        <v>3068</v>
      </c>
      <c r="B2374" s="694" t="s">
        <v>7779</v>
      </c>
      <c r="C2374" s="566">
        <f t="shared" si="36"/>
        <v>3068</v>
      </c>
      <c r="D2374" s="698" t="s">
        <v>2248</v>
      </c>
      <c r="E2374" s="701" t="s">
        <v>10248</v>
      </c>
      <c r="F2374" s="551">
        <v>1</v>
      </c>
      <c r="G2374" s="657">
        <v>25037.267814605864</v>
      </c>
      <c r="H2374" s="657">
        <v>25631.149461870624</v>
      </c>
      <c r="I2374" s="657">
        <v>26256.263884857435</v>
      </c>
      <c r="J2374" s="657">
        <v>26914.311744647101</v>
      </c>
      <c r="K2374" s="654" t="s">
        <v>1568</v>
      </c>
      <c r="M2374" s="540"/>
      <c r="O2374" s="540"/>
    </row>
    <row r="2375" spans="1:15">
      <c r="A2375" s="565">
        <v>3069</v>
      </c>
      <c r="B2375" s="694" t="s">
        <v>7780</v>
      </c>
      <c r="C2375" s="566">
        <f t="shared" si="36"/>
        <v>3069</v>
      </c>
      <c r="D2375" s="698" t="s">
        <v>2248</v>
      </c>
      <c r="E2375" s="701" t="s">
        <v>10249</v>
      </c>
      <c r="F2375" s="551">
        <v>1</v>
      </c>
      <c r="G2375" s="657">
        <v>0</v>
      </c>
      <c r="H2375" s="657">
        <v>27930.953321546905</v>
      </c>
      <c r="I2375" s="657">
        <v>0</v>
      </c>
      <c r="J2375" s="657">
        <v>0</v>
      </c>
      <c r="K2375" s="654" t="s">
        <v>3258</v>
      </c>
      <c r="M2375" s="540"/>
      <c r="O2375" s="540"/>
    </row>
    <row r="2376" spans="1:15">
      <c r="A2376" s="565">
        <v>3070</v>
      </c>
      <c r="B2376" s="694" t="s">
        <v>7781</v>
      </c>
      <c r="C2376" s="566">
        <f t="shared" si="36"/>
        <v>3070</v>
      </c>
      <c r="D2376" s="698" t="s">
        <v>2248</v>
      </c>
      <c r="E2376" s="701" t="s">
        <v>10250</v>
      </c>
      <c r="F2376" s="551">
        <v>1</v>
      </c>
      <c r="G2376" s="657">
        <v>21934.94098934143</v>
      </c>
      <c r="H2376" s="657">
        <v>0</v>
      </c>
      <c r="I2376" s="657">
        <v>0</v>
      </c>
      <c r="J2376" s="657">
        <v>0</v>
      </c>
      <c r="K2376" s="654" t="s">
        <v>5401</v>
      </c>
      <c r="M2376" s="540"/>
      <c r="O2376" s="540"/>
    </row>
    <row r="2377" spans="1:15">
      <c r="A2377" s="565">
        <v>3071</v>
      </c>
      <c r="B2377" s="694" t="s">
        <v>7782</v>
      </c>
      <c r="C2377" s="566">
        <f t="shared" ref="C2377:C2440" si="37">A2377</f>
        <v>3071</v>
      </c>
      <c r="D2377" s="698" t="s">
        <v>2248</v>
      </c>
      <c r="E2377" s="701" t="s">
        <v>10251</v>
      </c>
      <c r="F2377" s="551">
        <v>1</v>
      </c>
      <c r="G2377" s="657">
        <v>23326.198503506508</v>
      </c>
      <c r="H2377" s="657">
        <v>23875.404054124752</v>
      </c>
      <c r="I2377" s="657">
        <v>24453.520843116661</v>
      </c>
      <c r="J2377" s="657">
        <v>25062.060569220714</v>
      </c>
      <c r="K2377" s="654" t="s">
        <v>1569</v>
      </c>
      <c r="M2377" s="540"/>
      <c r="O2377" s="540"/>
    </row>
    <row r="2378" spans="1:15">
      <c r="A2378" s="565">
        <v>3072</v>
      </c>
      <c r="B2378" s="694" t="s">
        <v>7783</v>
      </c>
      <c r="C2378" s="566">
        <f t="shared" si="37"/>
        <v>3072</v>
      </c>
      <c r="D2378" s="698" t="s">
        <v>2248</v>
      </c>
      <c r="E2378" s="701" t="s">
        <v>10252</v>
      </c>
      <c r="F2378" s="551">
        <v>1</v>
      </c>
      <c r="G2378" s="657">
        <v>19764.13832214471</v>
      </c>
      <c r="H2378" s="657">
        <v>20208.577751261389</v>
      </c>
      <c r="I2378" s="657">
        <v>20676.394521584032</v>
      </c>
      <c r="J2378" s="657">
        <v>21168.857380268157</v>
      </c>
      <c r="K2378" s="654" t="s">
        <v>1570</v>
      </c>
      <c r="M2378" s="540"/>
      <c r="O2378" s="540"/>
    </row>
    <row r="2379" spans="1:15">
      <c r="A2379" s="565">
        <v>3073</v>
      </c>
      <c r="B2379" s="694" t="s">
        <v>7784</v>
      </c>
      <c r="C2379" s="566">
        <f t="shared" si="37"/>
        <v>3073</v>
      </c>
      <c r="D2379" s="698" t="s">
        <v>2248</v>
      </c>
      <c r="E2379" s="701" t="s">
        <v>10253</v>
      </c>
      <c r="F2379" s="551">
        <v>1</v>
      </c>
      <c r="G2379" s="657">
        <v>20857.498668592103</v>
      </c>
      <c r="H2379" s="657">
        <v>21329.769551269237</v>
      </c>
      <c r="I2379" s="657">
        <v>21826.848490029832</v>
      </c>
      <c r="J2379" s="657">
        <v>22350.085215890405</v>
      </c>
      <c r="K2379" s="654" t="s">
        <v>3259</v>
      </c>
      <c r="M2379" s="540"/>
      <c r="O2379" s="540"/>
    </row>
    <row r="2380" spans="1:15">
      <c r="A2380" s="565">
        <v>3074</v>
      </c>
      <c r="B2380" s="694" t="s">
        <v>7785</v>
      </c>
      <c r="C2380" s="566">
        <f t="shared" si="37"/>
        <v>3074</v>
      </c>
      <c r="D2380" s="698" t="s">
        <v>2248</v>
      </c>
      <c r="E2380" s="701" t="s">
        <v>10254</v>
      </c>
      <c r="F2380" s="551">
        <v>1</v>
      </c>
      <c r="G2380" s="657">
        <v>0</v>
      </c>
      <c r="H2380" s="657">
        <v>26175.207913801041</v>
      </c>
      <c r="I2380" s="657">
        <v>0</v>
      </c>
      <c r="J2380" s="657">
        <v>0</v>
      </c>
      <c r="K2380" s="654" t="s">
        <v>3260</v>
      </c>
      <c r="M2380" s="540"/>
      <c r="O2380" s="540"/>
    </row>
    <row r="2381" spans="1:15">
      <c r="A2381" s="565">
        <v>3075</v>
      </c>
      <c r="B2381" s="694" t="s">
        <v>7786</v>
      </c>
      <c r="C2381" s="566">
        <f t="shared" si="37"/>
        <v>3075</v>
      </c>
      <c r="D2381" s="698" t="s">
        <v>2248</v>
      </c>
      <c r="E2381" s="701" t="s">
        <v>10255</v>
      </c>
      <c r="F2381" s="551">
        <v>1</v>
      </c>
      <c r="G2381" s="657">
        <v>0</v>
      </c>
      <c r="H2381" s="657">
        <v>0</v>
      </c>
      <c r="I2381" s="657">
        <v>19781.655796897761</v>
      </c>
      <c r="J2381" s="657">
        <v>20643.863970244856</v>
      </c>
      <c r="K2381" s="654" t="s">
        <v>5002</v>
      </c>
      <c r="M2381" s="540"/>
      <c r="O2381" s="540"/>
    </row>
    <row r="2382" spans="1:15">
      <c r="A2382" s="565">
        <v>3076</v>
      </c>
      <c r="B2382" s="694" t="s">
        <v>7787</v>
      </c>
      <c r="C2382" s="566">
        <f t="shared" si="37"/>
        <v>3076</v>
      </c>
      <c r="D2382" s="698" t="s">
        <v>2248</v>
      </c>
      <c r="E2382" s="701" t="s">
        <v>10256</v>
      </c>
      <c r="F2382" s="551">
        <v>1</v>
      </c>
      <c r="G2382" s="657">
        <v>23624.89270731443</v>
      </c>
      <c r="H2382" s="657">
        <v>24181.899703208106</v>
      </c>
      <c r="I2382" s="657">
        <v>24768.222856780398</v>
      </c>
      <c r="J2382" s="657">
        <v>25385.427856010454</v>
      </c>
      <c r="K2382" s="654" t="s">
        <v>1567</v>
      </c>
      <c r="M2382" s="540"/>
      <c r="O2382" s="540"/>
    </row>
    <row r="2383" spans="1:15">
      <c r="A2383" s="565">
        <v>3077</v>
      </c>
      <c r="B2383" s="694" t="s">
        <v>7788</v>
      </c>
      <c r="C2383" s="566">
        <f t="shared" si="37"/>
        <v>3077</v>
      </c>
      <c r="D2383" s="698" t="s">
        <v>2248</v>
      </c>
      <c r="E2383" s="701" t="s">
        <v>10257</v>
      </c>
      <c r="F2383" s="551">
        <v>1</v>
      </c>
      <c r="G2383" s="657">
        <v>0</v>
      </c>
      <c r="H2383" s="657">
        <v>0</v>
      </c>
      <c r="I2383" s="657">
        <v>0</v>
      </c>
      <c r="J2383" s="657">
        <v>45249.133178470147</v>
      </c>
      <c r="K2383" s="654" t="s">
        <v>5003</v>
      </c>
      <c r="M2383" s="540"/>
      <c r="O2383" s="540"/>
    </row>
    <row r="2384" spans="1:15">
      <c r="A2384" s="565">
        <v>3078</v>
      </c>
      <c r="B2384" s="694" t="s">
        <v>7789</v>
      </c>
      <c r="C2384" s="566">
        <f t="shared" si="37"/>
        <v>3078</v>
      </c>
      <c r="D2384" s="698" t="s">
        <v>2248</v>
      </c>
      <c r="E2384" s="701" t="s">
        <v>10258</v>
      </c>
      <c r="F2384" s="551">
        <v>1</v>
      </c>
      <c r="G2384" s="657">
        <v>0</v>
      </c>
      <c r="H2384" s="657">
        <v>0</v>
      </c>
      <c r="I2384" s="657">
        <v>51166.209560831972</v>
      </c>
      <c r="J2384" s="657">
        <v>52798.99925536861</v>
      </c>
      <c r="K2384" s="654" t="s">
        <v>5004</v>
      </c>
      <c r="M2384" s="540"/>
      <c r="O2384" s="540"/>
    </row>
    <row r="2385" spans="1:15">
      <c r="A2385" s="565">
        <v>3079</v>
      </c>
      <c r="B2385" s="694" t="s">
        <v>7790</v>
      </c>
      <c r="C2385" s="566">
        <f t="shared" si="37"/>
        <v>3079</v>
      </c>
      <c r="D2385" s="698" t="s">
        <v>2248</v>
      </c>
      <c r="E2385" s="701" t="s">
        <v>10259</v>
      </c>
      <c r="F2385" s="551">
        <v>1</v>
      </c>
      <c r="G2385" s="657">
        <v>30020.668684353586</v>
      </c>
      <c r="H2385" s="657">
        <v>30982.23916256729</v>
      </c>
      <c r="I2385" s="657">
        <v>0</v>
      </c>
      <c r="J2385" s="657">
        <v>0</v>
      </c>
      <c r="K2385" s="654" t="s">
        <v>1571</v>
      </c>
      <c r="M2385" s="540"/>
      <c r="O2385" s="540"/>
    </row>
    <row r="2386" spans="1:15">
      <c r="A2386" s="565">
        <v>3080</v>
      </c>
      <c r="B2386" s="694" t="s">
        <v>7791</v>
      </c>
      <c r="C2386" s="566">
        <f t="shared" si="37"/>
        <v>3080</v>
      </c>
      <c r="D2386" s="698" t="s">
        <v>2248</v>
      </c>
      <c r="E2386" s="701" t="s">
        <v>10260</v>
      </c>
      <c r="F2386" s="551">
        <v>1</v>
      </c>
      <c r="G2386" s="657">
        <v>0</v>
      </c>
      <c r="H2386" s="657">
        <v>0</v>
      </c>
      <c r="I2386" s="657">
        <v>39779.643753357013</v>
      </c>
      <c r="J2386" s="657">
        <v>41053.584898458452</v>
      </c>
      <c r="K2386" s="654" t="s">
        <v>5005</v>
      </c>
      <c r="M2386" s="540"/>
      <c r="O2386" s="540"/>
    </row>
    <row r="2387" spans="1:15">
      <c r="A2387" s="565">
        <v>3081</v>
      </c>
      <c r="B2387" s="694" t="s">
        <v>7792</v>
      </c>
      <c r="C2387" s="566">
        <f t="shared" si="37"/>
        <v>3081</v>
      </c>
      <c r="D2387" s="698" t="s">
        <v>2248</v>
      </c>
      <c r="E2387" s="701" t="s">
        <v>10261</v>
      </c>
      <c r="F2387" s="551">
        <v>1</v>
      </c>
      <c r="G2387" s="657">
        <v>0</v>
      </c>
      <c r="H2387" s="657">
        <v>0</v>
      </c>
      <c r="I2387" s="657">
        <v>38957.777930847144</v>
      </c>
      <c r="J2387" s="657">
        <v>40188.459414131466</v>
      </c>
      <c r="K2387" s="654" t="s">
        <v>5006</v>
      </c>
      <c r="M2387" s="540"/>
      <c r="O2387" s="540"/>
    </row>
    <row r="2388" spans="1:15">
      <c r="A2388" s="565">
        <v>3082</v>
      </c>
      <c r="B2388" s="694" t="s">
        <v>7793</v>
      </c>
      <c r="C2388" s="566">
        <f t="shared" si="37"/>
        <v>3082</v>
      </c>
      <c r="D2388" s="698" t="s">
        <v>2248</v>
      </c>
      <c r="E2388" s="701" t="s">
        <v>10262</v>
      </c>
      <c r="F2388" s="551">
        <v>1</v>
      </c>
      <c r="G2388" s="657">
        <v>0</v>
      </c>
      <c r="H2388" s="657">
        <v>0</v>
      </c>
      <c r="I2388" s="657">
        <v>40076.939596823751</v>
      </c>
      <c r="J2388" s="657">
        <v>41366.531457476885</v>
      </c>
      <c r="K2388" s="654" t="s">
        <v>5007</v>
      </c>
      <c r="M2388" s="540"/>
      <c r="O2388" s="540"/>
    </row>
    <row r="2389" spans="1:15">
      <c r="A2389" s="565">
        <v>3083</v>
      </c>
      <c r="B2389" s="694" t="s">
        <v>7794</v>
      </c>
      <c r="C2389" s="566">
        <f t="shared" si="37"/>
        <v>3083</v>
      </c>
      <c r="D2389" s="698" t="s">
        <v>2248</v>
      </c>
      <c r="E2389" s="701" t="s">
        <v>10263</v>
      </c>
      <c r="F2389" s="551">
        <v>1</v>
      </c>
      <c r="G2389" s="657">
        <v>39959.252257055537</v>
      </c>
      <c r="H2389" s="657">
        <v>41336.142589519717</v>
      </c>
      <c r="I2389" s="657">
        <v>42640.538265532348</v>
      </c>
      <c r="J2389" s="657">
        <v>44013.60060912784</v>
      </c>
      <c r="K2389" s="654" t="s">
        <v>1572</v>
      </c>
      <c r="M2389" s="540"/>
      <c r="O2389" s="540"/>
    </row>
    <row r="2390" spans="1:15">
      <c r="A2390" s="565">
        <v>3084</v>
      </c>
      <c r="B2390" s="694" t="s">
        <v>7795</v>
      </c>
      <c r="C2390" s="566">
        <f t="shared" si="37"/>
        <v>3084</v>
      </c>
      <c r="D2390" s="698" t="s">
        <v>2248</v>
      </c>
      <c r="E2390" s="701" t="s">
        <v>10264</v>
      </c>
      <c r="F2390" s="551">
        <v>1</v>
      </c>
      <c r="G2390" s="657">
        <v>0</v>
      </c>
      <c r="H2390" s="657">
        <v>0</v>
      </c>
      <c r="I2390" s="657">
        <v>42338.900459001314</v>
      </c>
      <c r="J2390" s="657">
        <v>43698.344647506368</v>
      </c>
      <c r="K2390" s="654" t="s">
        <v>5008</v>
      </c>
      <c r="M2390" s="540"/>
      <c r="O2390" s="540"/>
    </row>
    <row r="2391" spans="1:15">
      <c r="A2391" s="565">
        <v>3085</v>
      </c>
      <c r="B2391" s="694" t="s">
        <v>7796</v>
      </c>
      <c r="C2391" s="566">
        <f t="shared" si="37"/>
        <v>3085</v>
      </c>
      <c r="D2391" s="698" t="s">
        <v>2248</v>
      </c>
      <c r="E2391" s="701" t="s">
        <v>10265</v>
      </c>
      <c r="F2391" s="551">
        <v>1</v>
      </c>
      <c r="G2391" s="657">
        <v>0</v>
      </c>
      <c r="H2391" s="657">
        <v>0</v>
      </c>
      <c r="I2391" s="657">
        <v>41517.034636491444</v>
      </c>
      <c r="J2391" s="657">
        <v>42833.219163179383</v>
      </c>
      <c r="K2391" s="654" t="s">
        <v>5009</v>
      </c>
      <c r="M2391" s="540"/>
      <c r="O2391" s="540"/>
    </row>
    <row r="2392" spans="1:15">
      <c r="A2392" s="565">
        <v>3086</v>
      </c>
      <c r="B2392" s="694" t="s">
        <v>7797</v>
      </c>
      <c r="C2392" s="566">
        <f t="shared" si="37"/>
        <v>3086</v>
      </c>
      <c r="D2392" s="698" t="s">
        <v>2248</v>
      </c>
      <c r="E2392" s="701" t="s">
        <v>10266</v>
      </c>
      <c r="F2392" s="551">
        <v>1</v>
      </c>
      <c r="G2392" s="657">
        <v>0</v>
      </c>
      <c r="H2392" s="657">
        <v>0</v>
      </c>
      <c r="I2392" s="657">
        <v>42636.196302468059</v>
      </c>
      <c r="J2392" s="657">
        <v>44011.291206524795</v>
      </c>
      <c r="K2392" s="654" t="s">
        <v>5010</v>
      </c>
      <c r="M2392" s="540"/>
      <c r="O2392" s="540"/>
    </row>
    <row r="2393" spans="1:15">
      <c r="A2393" s="565">
        <v>3087</v>
      </c>
      <c r="B2393" s="694" t="s">
        <v>7798</v>
      </c>
      <c r="C2393" s="566">
        <f t="shared" si="37"/>
        <v>3087</v>
      </c>
      <c r="D2393" s="698" t="s">
        <v>2248</v>
      </c>
      <c r="E2393" s="701" t="s">
        <v>10267</v>
      </c>
      <c r="F2393" s="551">
        <v>1</v>
      </c>
      <c r="G2393" s="657">
        <v>41289.301881021944</v>
      </c>
      <c r="H2393" s="657">
        <v>42714.804284517901</v>
      </c>
      <c r="I2393" s="657">
        <v>44065.271330985721</v>
      </c>
      <c r="J2393" s="657">
        <v>45486.810241582214</v>
      </c>
      <c r="K2393" s="654" t="s">
        <v>1573</v>
      </c>
      <c r="M2393" s="540"/>
      <c r="O2393" s="540"/>
    </row>
    <row r="2394" spans="1:15">
      <c r="A2394" s="565">
        <v>3088</v>
      </c>
      <c r="B2394" s="694" t="s">
        <v>7799</v>
      </c>
      <c r="C2394" s="566">
        <f t="shared" si="37"/>
        <v>3088</v>
      </c>
      <c r="D2394" s="698" t="s">
        <v>2248</v>
      </c>
      <c r="E2394" s="701" t="s">
        <v>10268</v>
      </c>
      <c r="F2394" s="551">
        <v>1</v>
      </c>
      <c r="G2394" s="657">
        <v>0</v>
      </c>
      <c r="H2394" s="657">
        <v>36614.26598685349</v>
      </c>
      <c r="I2394" s="657">
        <v>40306.005552637274</v>
      </c>
      <c r="J2394" s="657">
        <v>0</v>
      </c>
      <c r="K2394" s="654" t="s">
        <v>5011</v>
      </c>
      <c r="M2394" s="540"/>
      <c r="O2394" s="540"/>
    </row>
    <row r="2395" spans="1:15">
      <c r="A2395" s="565">
        <v>3089</v>
      </c>
      <c r="B2395" s="694" t="s">
        <v>7800</v>
      </c>
      <c r="C2395" s="566">
        <f t="shared" si="37"/>
        <v>3089</v>
      </c>
      <c r="D2395" s="698" t="s">
        <v>2248</v>
      </c>
      <c r="E2395" s="701" t="s">
        <v>10269</v>
      </c>
      <c r="F2395" s="551">
        <v>1</v>
      </c>
      <c r="G2395" s="657">
        <v>0</v>
      </c>
      <c r="H2395" s="657">
        <v>0</v>
      </c>
      <c r="I2395" s="657">
        <v>48460.886520894455</v>
      </c>
      <c r="J2395" s="657">
        <v>50003.295026920467</v>
      </c>
      <c r="K2395" s="654" t="s">
        <v>5012</v>
      </c>
      <c r="M2395" s="540"/>
      <c r="O2395" s="540"/>
    </row>
    <row r="2396" spans="1:15">
      <c r="A2396" s="565">
        <v>3090</v>
      </c>
      <c r="B2396" s="694" t="s">
        <v>7801</v>
      </c>
      <c r="C2396" s="566">
        <f t="shared" si="37"/>
        <v>3090</v>
      </c>
      <c r="D2396" s="698" t="s">
        <v>2248</v>
      </c>
      <c r="E2396" s="701" t="s">
        <v>10270</v>
      </c>
      <c r="F2396" s="551">
        <v>1</v>
      </c>
      <c r="G2396" s="657">
        <v>0</v>
      </c>
      <c r="H2396" s="657">
        <v>0</v>
      </c>
      <c r="I2396" s="657">
        <v>49513.325609799438</v>
      </c>
      <c r="J2396" s="657">
        <v>51090.897411805221</v>
      </c>
      <c r="K2396" s="654" t="s">
        <v>5013</v>
      </c>
      <c r="M2396" s="540"/>
      <c r="O2396" s="540"/>
    </row>
    <row r="2397" spans="1:15">
      <c r="A2397" s="565">
        <v>3091</v>
      </c>
      <c r="B2397" s="694" t="s">
        <v>7802</v>
      </c>
      <c r="C2397" s="566">
        <f t="shared" si="37"/>
        <v>3091</v>
      </c>
      <c r="D2397" s="698" t="s">
        <v>2248</v>
      </c>
      <c r="E2397" s="701" t="s">
        <v>10271</v>
      </c>
      <c r="F2397" s="551">
        <v>2</v>
      </c>
      <c r="G2397" s="657">
        <v>21500.719790939529</v>
      </c>
      <c r="H2397" s="657">
        <v>22307.895172412151</v>
      </c>
      <c r="I2397" s="657">
        <v>24101.585806129424</v>
      </c>
      <c r="J2397" s="657">
        <v>25045.625825822808</v>
      </c>
      <c r="K2397" s="654" t="s">
        <v>1574</v>
      </c>
      <c r="M2397" s="540"/>
      <c r="O2397" s="540"/>
    </row>
    <row r="2398" spans="1:15">
      <c r="A2398" s="565">
        <v>3092</v>
      </c>
      <c r="B2398" s="694" t="s">
        <v>7803</v>
      </c>
      <c r="C2398" s="566">
        <f t="shared" si="37"/>
        <v>3092</v>
      </c>
      <c r="D2398" s="698" t="s">
        <v>2248</v>
      </c>
      <c r="E2398" s="701" t="s">
        <v>10272</v>
      </c>
      <c r="F2398" s="551">
        <v>2</v>
      </c>
      <c r="G2398" s="657">
        <v>0</v>
      </c>
      <c r="H2398" s="657">
        <v>0</v>
      </c>
      <c r="I2398" s="657">
        <v>0</v>
      </c>
      <c r="J2398" s="657">
        <v>28459.445401722031</v>
      </c>
      <c r="K2398" s="654" t="s">
        <v>5014</v>
      </c>
      <c r="M2398" s="540"/>
      <c r="O2398" s="540"/>
    </row>
    <row r="2399" spans="1:15">
      <c r="A2399" s="565">
        <v>3093</v>
      </c>
      <c r="B2399" s="694" t="s">
        <v>7804</v>
      </c>
      <c r="C2399" s="566">
        <f t="shared" si="37"/>
        <v>3093</v>
      </c>
      <c r="D2399" s="698" t="s">
        <v>2248</v>
      </c>
      <c r="E2399" s="701" t="s">
        <v>10273</v>
      </c>
      <c r="F2399" s="551">
        <v>2</v>
      </c>
      <c r="G2399" s="657">
        <v>0</v>
      </c>
      <c r="H2399" s="657">
        <v>0</v>
      </c>
      <c r="I2399" s="657">
        <v>0</v>
      </c>
      <c r="J2399" s="657">
        <v>29401.708483022489</v>
      </c>
      <c r="K2399" s="654" t="s">
        <v>5015</v>
      </c>
      <c r="M2399" s="540"/>
      <c r="O2399" s="540"/>
    </row>
    <row r="2400" spans="1:15">
      <c r="A2400" s="565">
        <v>3094</v>
      </c>
      <c r="B2400" s="694" t="s">
        <v>7805</v>
      </c>
      <c r="C2400" s="566">
        <f t="shared" si="37"/>
        <v>3094</v>
      </c>
      <c r="D2400" s="698" t="s">
        <v>2248</v>
      </c>
      <c r="E2400" s="701" t="s">
        <v>10274</v>
      </c>
      <c r="F2400" s="551">
        <v>2</v>
      </c>
      <c r="G2400" s="657">
        <v>22486.303089099252</v>
      </c>
      <c r="H2400" s="657">
        <v>23337.948530768736</v>
      </c>
      <c r="I2400" s="657">
        <v>24234.40461296482</v>
      </c>
      <c r="J2400" s="657">
        <v>25178.055397995649</v>
      </c>
      <c r="K2400" s="654" t="s">
        <v>1575</v>
      </c>
      <c r="M2400" s="540"/>
      <c r="O2400" s="540"/>
    </row>
    <row r="2401" spans="1:15">
      <c r="A2401" s="565">
        <v>3095</v>
      </c>
      <c r="B2401" s="694" t="s">
        <v>7806</v>
      </c>
      <c r="C2401" s="566">
        <f t="shared" si="37"/>
        <v>3095</v>
      </c>
      <c r="D2401" s="698" t="s">
        <v>2248</v>
      </c>
      <c r="E2401" s="701" t="s">
        <v>10275</v>
      </c>
      <c r="F2401" s="551">
        <v>2</v>
      </c>
      <c r="G2401" s="657">
        <v>22701.077070036317</v>
      </c>
      <c r="H2401" s="657">
        <v>23562.404723936852</v>
      </c>
      <c r="I2401" s="657">
        <v>24469.078216024991</v>
      </c>
      <c r="J2401" s="657">
        <v>25423.481608608894</v>
      </c>
      <c r="K2401" s="654" t="s">
        <v>1576</v>
      </c>
      <c r="M2401" s="540"/>
      <c r="O2401" s="540"/>
    </row>
    <row r="2402" spans="1:15">
      <c r="A2402" s="565">
        <v>3096</v>
      </c>
      <c r="B2402" s="694" t="s">
        <v>7807</v>
      </c>
      <c r="C2402" s="566">
        <f t="shared" si="37"/>
        <v>3096</v>
      </c>
      <c r="D2402" s="698" t="s">
        <v>2248</v>
      </c>
      <c r="E2402" s="701" t="s">
        <v>10276</v>
      </c>
      <c r="F2402" s="551">
        <v>2</v>
      </c>
      <c r="G2402" s="657">
        <v>20417.195336517558</v>
      </c>
      <c r="H2402" s="657">
        <v>21175.473113506752</v>
      </c>
      <c r="I2402" s="657">
        <v>21973.647443407797</v>
      </c>
      <c r="J2402" s="657">
        <v>22813.85911686474</v>
      </c>
      <c r="K2402" s="654" t="s">
        <v>1577</v>
      </c>
      <c r="M2402" s="540"/>
      <c r="O2402" s="540"/>
    </row>
    <row r="2403" spans="1:15">
      <c r="A2403" s="565">
        <v>3097</v>
      </c>
      <c r="B2403" s="694" t="s">
        <v>7808</v>
      </c>
      <c r="C2403" s="566">
        <f t="shared" si="37"/>
        <v>3097</v>
      </c>
      <c r="D2403" s="698" t="s">
        <v>2248</v>
      </c>
      <c r="E2403" s="701" t="s">
        <v>10277</v>
      </c>
      <c r="F2403" s="551">
        <v>2</v>
      </c>
      <c r="G2403" s="657">
        <v>21402.778634677281</v>
      </c>
      <c r="H2403" s="657">
        <v>22205.526471863341</v>
      </c>
      <c r="I2403" s="657">
        <v>23050.5549242694</v>
      </c>
      <c r="J2403" s="657">
        <v>23940.053436872313</v>
      </c>
      <c r="K2403" s="654" t="s">
        <v>1578</v>
      </c>
      <c r="M2403" s="540"/>
      <c r="O2403" s="540"/>
    </row>
    <row r="2404" spans="1:15">
      <c r="A2404" s="565">
        <v>3098</v>
      </c>
      <c r="B2404" s="694" t="s">
        <v>7809</v>
      </c>
      <c r="C2404" s="566">
        <f t="shared" si="37"/>
        <v>3098</v>
      </c>
      <c r="D2404" s="698" t="s">
        <v>2248</v>
      </c>
      <c r="E2404" s="701" t="s">
        <v>10278</v>
      </c>
      <c r="F2404" s="551">
        <v>1</v>
      </c>
      <c r="G2404" s="657">
        <v>0</v>
      </c>
      <c r="H2404" s="657">
        <v>0</v>
      </c>
      <c r="I2404" s="657">
        <v>15560.257056037715</v>
      </c>
      <c r="J2404" s="657">
        <v>15878.116151880417</v>
      </c>
      <c r="K2404" s="654" t="s">
        <v>5016</v>
      </c>
      <c r="M2404" s="540"/>
      <c r="O2404" s="540"/>
    </row>
    <row r="2405" spans="1:15">
      <c r="A2405" s="565">
        <v>3099</v>
      </c>
      <c r="B2405" s="694" t="s">
        <v>7810</v>
      </c>
      <c r="C2405" s="566">
        <f t="shared" si="37"/>
        <v>3099</v>
      </c>
      <c r="D2405" s="698" t="s">
        <v>2248</v>
      </c>
      <c r="E2405" s="701" t="s">
        <v>10279</v>
      </c>
      <c r="F2405" s="551">
        <v>1</v>
      </c>
      <c r="G2405" s="657">
        <v>15446.453193480842</v>
      </c>
      <c r="H2405" s="657">
        <v>15774.952386468225</v>
      </c>
      <c r="I2405" s="657">
        <v>16120.73713519756</v>
      </c>
      <c r="J2405" s="657">
        <v>16484.727863297278</v>
      </c>
      <c r="K2405" s="654" t="s">
        <v>1579</v>
      </c>
      <c r="M2405" s="540"/>
      <c r="O2405" s="540"/>
    </row>
    <row r="2406" spans="1:15">
      <c r="A2406" s="565">
        <v>3100</v>
      </c>
      <c r="B2406" s="694" t="s">
        <v>7811</v>
      </c>
      <c r="C2406" s="566">
        <f t="shared" si="37"/>
        <v>3100</v>
      </c>
      <c r="D2406" s="698" t="s">
        <v>2248</v>
      </c>
      <c r="E2406" s="701" t="s">
        <v>10280</v>
      </c>
      <c r="F2406" s="551">
        <v>1</v>
      </c>
      <c r="G2406" s="657">
        <v>0</v>
      </c>
      <c r="H2406" s="657">
        <v>0</v>
      </c>
      <c r="I2406" s="657">
        <v>15937.744998536444</v>
      </c>
      <c r="J2406" s="657">
        <v>16259.948493905347</v>
      </c>
      <c r="K2406" s="654" t="s">
        <v>5017</v>
      </c>
      <c r="M2406" s="540"/>
      <c r="O2406" s="540"/>
    </row>
    <row r="2407" spans="1:15">
      <c r="A2407" s="565">
        <v>3101</v>
      </c>
      <c r="B2407" s="694" t="s">
        <v>7812</v>
      </c>
      <c r="C2407" s="566">
        <f t="shared" si="37"/>
        <v>3101</v>
      </c>
      <c r="D2407" s="698" t="s">
        <v>2248</v>
      </c>
      <c r="E2407" s="701" t="s">
        <v>10281</v>
      </c>
      <c r="F2407" s="551">
        <v>1</v>
      </c>
      <c r="G2407" s="657">
        <v>0</v>
      </c>
      <c r="H2407" s="657">
        <v>0</v>
      </c>
      <c r="I2407" s="657">
        <v>13723.683553103841</v>
      </c>
      <c r="J2407" s="657">
        <v>13997.822526596028</v>
      </c>
      <c r="K2407" s="654" t="s">
        <v>5018</v>
      </c>
      <c r="M2407" s="540"/>
      <c r="O2407" s="540"/>
    </row>
    <row r="2408" spans="1:15">
      <c r="A2408" s="565">
        <v>3102</v>
      </c>
      <c r="B2408" s="694" t="s">
        <v>7813</v>
      </c>
      <c r="C2408" s="566">
        <f t="shared" si="37"/>
        <v>3102</v>
      </c>
      <c r="D2408" s="698" t="s">
        <v>2248</v>
      </c>
      <c r="E2408" s="701" t="s">
        <v>10282</v>
      </c>
      <c r="F2408" s="551">
        <v>1</v>
      </c>
      <c r="G2408" s="657">
        <v>0</v>
      </c>
      <c r="H2408" s="657">
        <v>0</v>
      </c>
      <c r="I2408" s="657">
        <v>14760.425421409002</v>
      </c>
      <c r="J2408" s="657">
        <v>15059.231748143166</v>
      </c>
      <c r="K2408" s="654" t="s">
        <v>5019</v>
      </c>
      <c r="M2408" s="540"/>
      <c r="O2408" s="540"/>
    </row>
    <row r="2409" spans="1:15">
      <c r="A2409" s="565">
        <v>3103</v>
      </c>
      <c r="B2409" s="694" t="s">
        <v>7814</v>
      </c>
      <c r="C2409" s="566">
        <f t="shared" si="37"/>
        <v>3103</v>
      </c>
      <c r="D2409" s="698" t="s">
        <v>2248</v>
      </c>
      <c r="E2409" s="701" t="s">
        <v>10283</v>
      </c>
      <c r="F2409" s="551">
        <v>1</v>
      </c>
      <c r="G2409" s="657">
        <v>0</v>
      </c>
      <c r="H2409" s="657">
        <v>0</v>
      </c>
      <c r="I2409" s="657">
        <v>0</v>
      </c>
      <c r="J2409" s="657">
        <v>16688.449235965265</v>
      </c>
      <c r="K2409" s="654" t="s">
        <v>5020</v>
      </c>
      <c r="M2409" s="540"/>
      <c r="O2409" s="540"/>
    </row>
    <row r="2410" spans="1:15">
      <c r="A2410" s="565">
        <v>3104</v>
      </c>
      <c r="B2410" s="694" t="s">
        <v>7815</v>
      </c>
      <c r="C2410" s="566">
        <f t="shared" si="37"/>
        <v>3104</v>
      </c>
      <c r="D2410" s="698" t="s">
        <v>2248</v>
      </c>
      <c r="E2410" s="701" t="s">
        <v>10284</v>
      </c>
      <c r="F2410" s="551">
        <v>1</v>
      </c>
      <c r="G2410" s="657">
        <v>0</v>
      </c>
      <c r="H2410" s="657">
        <v>0</v>
      </c>
      <c r="I2410" s="657">
        <v>0</v>
      </c>
      <c r="J2410" s="657">
        <v>17749.858457512393</v>
      </c>
      <c r="K2410" s="654" t="s">
        <v>5021</v>
      </c>
      <c r="M2410" s="540"/>
      <c r="O2410" s="540"/>
    </row>
    <row r="2411" spans="1:15">
      <c r="A2411" s="565">
        <v>3105</v>
      </c>
      <c r="B2411" s="694" t="s">
        <v>7816</v>
      </c>
      <c r="C2411" s="566">
        <f t="shared" si="37"/>
        <v>3105</v>
      </c>
      <c r="D2411" s="698" t="s">
        <v>2248</v>
      </c>
      <c r="E2411" s="701" t="s">
        <v>10285</v>
      </c>
      <c r="F2411" s="551">
        <v>1</v>
      </c>
      <c r="G2411" s="657">
        <v>0</v>
      </c>
      <c r="H2411" s="657">
        <v>0</v>
      </c>
      <c r="I2411" s="657">
        <v>15688.923138859232</v>
      </c>
      <c r="J2411" s="657">
        <v>16005.199106061036</v>
      </c>
      <c r="K2411" s="654" t="s">
        <v>5022</v>
      </c>
      <c r="M2411" s="540"/>
      <c r="O2411" s="540"/>
    </row>
    <row r="2412" spans="1:15">
      <c r="A2412" s="565">
        <v>3106</v>
      </c>
      <c r="B2412" s="694" t="s">
        <v>7817</v>
      </c>
      <c r="C2412" s="566">
        <f t="shared" si="37"/>
        <v>3106</v>
      </c>
      <c r="D2412" s="698" t="s">
        <v>2248</v>
      </c>
      <c r="E2412" s="701" t="s">
        <v>10286</v>
      </c>
      <c r="F2412" s="551">
        <v>1</v>
      </c>
      <c r="G2412" s="657">
        <v>0</v>
      </c>
      <c r="H2412" s="657">
        <v>0</v>
      </c>
      <c r="I2412" s="657">
        <v>14788.381255558945</v>
      </c>
      <c r="J2412" s="657">
        <v>15083.229760690849</v>
      </c>
      <c r="K2412" s="654" t="s">
        <v>5023</v>
      </c>
      <c r="M2412" s="540"/>
      <c r="O2412" s="540"/>
    </row>
    <row r="2413" spans="1:15">
      <c r="A2413" s="565">
        <v>3107</v>
      </c>
      <c r="B2413" s="694" t="s">
        <v>7818</v>
      </c>
      <c r="C2413" s="566">
        <f t="shared" si="37"/>
        <v>3107</v>
      </c>
      <c r="D2413" s="698" t="s">
        <v>2248</v>
      </c>
      <c r="E2413" s="701" t="s">
        <v>10287</v>
      </c>
      <c r="F2413" s="551">
        <v>1</v>
      </c>
      <c r="G2413" s="657">
        <v>0</v>
      </c>
      <c r="H2413" s="657">
        <v>0</v>
      </c>
      <c r="I2413" s="657">
        <v>15825.123123864107</v>
      </c>
      <c r="J2413" s="657">
        <v>16144.63898223799</v>
      </c>
      <c r="K2413" s="654" t="s">
        <v>5024</v>
      </c>
      <c r="M2413" s="540"/>
      <c r="O2413" s="540"/>
    </row>
    <row r="2414" spans="1:15">
      <c r="A2414" s="565">
        <v>3108</v>
      </c>
      <c r="B2414" s="694" t="s">
        <v>7819</v>
      </c>
      <c r="C2414" s="566">
        <f t="shared" si="37"/>
        <v>3108</v>
      </c>
      <c r="D2414" s="698" t="s">
        <v>2248</v>
      </c>
      <c r="E2414" s="701" t="s">
        <v>10288</v>
      </c>
      <c r="F2414" s="551">
        <v>2</v>
      </c>
      <c r="G2414" s="657">
        <v>12072.917347723451</v>
      </c>
      <c r="H2414" s="657">
        <v>12471.785568176287</v>
      </c>
      <c r="I2414" s="657">
        <v>12891.623806074249</v>
      </c>
      <c r="J2414" s="657">
        <v>13333.59976540501</v>
      </c>
      <c r="K2414" s="654" t="s">
        <v>1580</v>
      </c>
      <c r="M2414" s="540"/>
      <c r="O2414" s="540"/>
    </row>
    <row r="2415" spans="1:15">
      <c r="A2415" s="565">
        <v>3109</v>
      </c>
      <c r="B2415" s="694" t="s">
        <v>7820</v>
      </c>
      <c r="C2415" s="566">
        <f t="shared" si="37"/>
        <v>3109</v>
      </c>
      <c r="D2415" s="698" t="s">
        <v>2248</v>
      </c>
      <c r="E2415" s="701" t="s">
        <v>10289</v>
      </c>
      <c r="F2415" s="551">
        <v>2</v>
      </c>
      <c r="G2415" s="657">
        <v>11728.609936551209</v>
      </c>
      <c r="H2415" s="657">
        <v>12109.135473531162</v>
      </c>
      <c r="I2415" s="657">
        <v>12509.706595632671</v>
      </c>
      <c r="J2415" s="657">
        <v>12931.345043844949</v>
      </c>
      <c r="K2415" s="654" t="s">
        <v>1581</v>
      </c>
      <c r="M2415" s="540"/>
      <c r="O2415" s="540"/>
    </row>
    <row r="2416" spans="1:15">
      <c r="A2416" s="565">
        <v>3110</v>
      </c>
      <c r="B2416" s="694" t="s">
        <v>7821</v>
      </c>
      <c r="C2416" s="566">
        <f t="shared" si="37"/>
        <v>3110</v>
      </c>
      <c r="D2416" s="698" t="s">
        <v>2248</v>
      </c>
      <c r="E2416" s="701" t="s">
        <v>10290</v>
      </c>
      <c r="F2416" s="551">
        <v>2</v>
      </c>
      <c r="G2416" s="657">
        <v>12477.401767460979</v>
      </c>
      <c r="H2416" s="657">
        <v>12893.055732736484</v>
      </c>
      <c r="I2416" s="657">
        <v>13330.604147780685</v>
      </c>
      <c r="J2416" s="657">
        <v>13791.166062248423</v>
      </c>
      <c r="K2416" s="654" t="s">
        <v>1582</v>
      </c>
      <c r="M2416" s="540"/>
      <c r="O2416" s="540"/>
    </row>
    <row r="2417" spans="1:15">
      <c r="A2417" s="565">
        <v>3111</v>
      </c>
      <c r="B2417" s="694" t="s">
        <v>7822</v>
      </c>
      <c r="C2417" s="566">
        <f t="shared" si="37"/>
        <v>3111</v>
      </c>
      <c r="D2417" s="698" t="s">
        <v>2248</v>
      </c>
      <c r="E2417" s="701" t="s">
        <v>10291</v>
      </c>
      <c r="F2417" s="551">
        <v>2</v>
      </c>
      <c r="G2417" s="657">
        <v>12511.916991620015</v>
      </c>
      <c r="H2417" s="657">
        <v>12929.225204211374</v>
      </c>
      <c r="I2417" s="657">
        <v>13368.476520904249</v>
      </c>
      <c r="J2417" s="657">
        <v>13830.838645686308</v>
      </c>
      <c r="K2417" s="654" t="s">
        <v>1583</v>
      </c>
      <c r="M2417" s="540"/>
      <c r="O2417" s="540"/>
    </row>
    <row r="2418" spans="1:15">
      <c r="A2418" s="565">
        <v>3112</v>
      </c>
      <c r="B2418" s="694" t="s">
        <v>7823</v>
      </c>
      <c r="C2418" s="566">
        <f t="shared" si="37"/>
        <v>3112</v>
      </c>
      <c r="D2418" s="698" t="s">
        <v>2248</v>
      </c>
      <c r="E2418" s="701" t="s">
        <v>10292</v>
      </c>
      <c r="F2418" s="551">
        <v>1</v>
      </c>
      <c r="G2418" s="657">
        <v>0</v>
      </c>
      <c r="H2418" s="657">
        <v>0</v>
      </c>
      <c r="I2418" s="657">
        <v>0</v>
      </c>
      <c r="J2418" s="657">
        <v>15470.060835563383</v>
      </c>
      <c r="K2418" s="654" t="s">
        <v>5025</v>
      </c>
      <c r="M2418" s="540"/>
      <c r="O2418" s="540"/>
    </row>
    <row r="2419" spans="1:15">
      <c r="A2419" s="565">
        <v>3113</v>
      </c>
      <c r="B2419" s="694" t="s">
        <v>7824</v>
      </c>
      <c r="C2419" s="566">
        <f t="shared" si="37"/>
        <v>3113</v>
      </c>
      <c r="D2419" s="698" t="s">
        <v>2248</v>
      </c>
      <c r="E2419" s="701" t="s">
        <v>10293</v>
      </c>
      <c r="F2419" s="551">
        <v>1</v>
      </c>
      <c r="G2419" s="657">
        <v>0</v>
      </c>
      <c r="H2419" s="657">
        <v>0</v>
      </c>
      <c r="I2419" s="657">
        <v>0</v>
      </c>
      <c r="J2419" s="657">
        <v>14172.709161391636</v>
      </c>
      <c r="K2419" s="654" t="s">
        <v>5026</v>
      </c>
      <c r="M2419" s="540"/>
      <c r="O2419" s="540"/>
    </row>
    <row r="2420" spans="1:15">
      <c r="A2420" s="565">
        <v>3114</v>
      </c>
      <c r="B2420" s="694" t="s">
        <v>7825</v>
      </c>
      <c r="C2420" s="566">
        <f t="shared" si="37"/>
        <v>3114</v>
      </c>
      <c r="D2420" s="698" t="s">
        <v>2248</v>
      </c>
      <c r="E2420" s="701" t="s">
        <v>10294</v>
      </c>
      <c r="F2420" s="551">
        <v>1</v>
      </c>
      <c r="G2420" s="657">
        <v>0</v>
      </c>
      <c r="H2420" s="657">
        <v>0</v>
      </c>
      <c r="I2420" s="657">
        <v>0</v>
      </c>
      <c r="J2420" s="657">
        <v>16308.097598828865</v>
      </c>
      <c r="K2420" s="654" t="s">
        <v>5027</v>
      </c>
      <c r="M2420" s="540"/>
      <c r="O2420" s="540"/>
    </row>
    <row r="2421" spans="1:15">
      <c r="A2421" s="565">
        <v>3115</v>
      </c>
      <c r="B2421" s="694" t="s">
        <v>7826</v>
      </c>
      <c r="C2421" s="566">
        <f t="shared" si="37"/>
        <v>3115</v>
      </c>
      <c r="D2421" s="698" t="s">
        <v>2248</v>
      </c>
      <c r="E2421" s="701" t="s">
        <v>10295</v>
      </c>
      <c r="F2421" s="551">
        <v>1</v>
      </c>
      <c r="G2421" s="657">
        <v>0</v>
      </c>
      <c r="H2421" s="657">
        <v>0</v>
      </c>
      <c r="I2421" s="657">
        <v>0</v>
      </c>
      <c r="J2421" s="657">
        <v>15013.366837130194</v>
      </c>
      <c r="K2421" s="654" t="s">
        <v>5028</v>
      </c>
      <c r="M2421" s="540"/>
      <c r="O2421" s="540"/>
    </row>
    <row r="2422" spans="1:15">
      <c r="A2422" s="565">
        <v>3116</v>
      </c>
      <c r="B2422" s="694" t="s">
        <v>7827</v>
      </c>
      <c r="C2422" s="566">
        <f t="shared" si="37"/>
        <v>3116</v>
      </c>
      <c r="D2422" s="698" t="s">
        <v>2248</v>
      </c>
      <c r="E2422" s="701" t="s">
        <v>10296</v>
      </c>
      <c r="F2422" s="551">
        <v>1</v>
      </c>
      <c r="G2422" s="657">
        <v>0</v>
      </c>
      <c r="H2422" s="657">
        <v>0</v>
      </c>
      <c r="I2422" s="657">
        <v>0</v>
      </c>
      <c r="J2422" s="657">
        <v>18180.08433272213</v>
      </c>
      <c r="K2422" s="654" t="s">
        <v>5029</v>
      </c>
      <c r="M2422" s="540"/>
      <c r="O2422" s="540"/>
    </row>
    <row r="2423" spans="1:15">
      <c r="A2423" s="565">
        <v>3117</v>
      </c>
      <c r="B2423" s="694" t="s">
        <v>7828</v>
      </c>
      <c r="C2423" s="566">
        <f t="shared" si="37"/>
        <v>3117</v>
      </c>
      <c r="D2423" s="698" t="s">
        <v>2248</v>
      </c>
      <c r="E2423" s="701" t="s">
        <v>10297</v>
      </c>
      <c r="F2423" s="551">
        <v>1</v>
      </c>
      <c r="G2423" s="657">
        <v>0</v>
      </c>
      <c r="H2423" s="657">
        <v>0</v>
      </c>
      <c r="I2423" s="657">
        <v>0</v>
      </c>
      <c r="J2423" s="657">
        <v>16885.353571023465</v>
      </c>
      <c r="K2423" s="654" t="s">
        <v>5030</v>
      </c>
      <c r="M2423" s="540"/>
      <c r="O2423" s="540"/>
    </row>
    <row r="2424" spans="1:15">
      <c r="A2424" s="565">
        <v>3118</v>
      </c>
      <c r="B2424" s="694" t="s">
        <v>7829</v>
      </c>
      <c r="C2424" s="566">
        <f t="shared" si="37"/>
        <v>3118</v>
      </c>
      <c r="D2424" s="698" t="s">
        <v>2248</v>
      </c>
      <c r="E2424" s="701" t="s">
        <v>10298</v>
      </c>
      <c r="F2424" s="551">
        <v>1</v>
      </c>
      <c r="G2424" s="657">
        <v>0</v>
      </c>
      <c r="H2424" s="657">
        <v>0</v>
      </c>
      <c r="I2424" s="657">
        <v>0</v>
      </c>
      <c r="J2424" s="657">
        <v>17386.603081498914</v>
      </c>
      <c r="K2424" s="654" t="s">
        <v>5031</v>
      </c>
      <c r="M2424" s="540"/>
      <c r="O2424" s="540"/>
    </row>
    <row r="2425" spans="1:15">
      <c r="A2425" s="565">
        <v>3119</v>
      </c>
      <c r="B2425" s="694" t="s">
        <v>7830</v>
      </c>
      <c r="C2425" s="566">
        <f t="shared" si="37"/>
        <v>3119</v>
      </c>
      <c r="D2425" s="698" t="s">
        <v>2248</v>
      </c>
      <c r="E2425" s="701" t="s">
        <v>10299</v>
      </c>
      <c r="F2425" s="551">
        <v>1</v>
      </c>
      <c r="G2425" s="657">
        <v>0</v>
      </c>
      <c r="H2425" s="657">
        <v>0</v>
      </c>
      <c r="I2425" s="657">
        <v>0</v>
      </c>
      <c r="J2425" s="657">
        <v>16000.140383242648</v>
      </c>
      <c r="K2425" s="654" t="s">
        <v>5032</v>
      </c>
      <c r="M2425" s="540"/>
      <c r="O2425" s="540"/>
    </row>
    <row r="2426" spans="1:15">
      <c r="A2426" s="565">
        <v>3120</v>
      </c>
      <c r="B2426" s="694" t="s">
        <v>7831</v>
      </c>
      <c r="C2426" s="566">
        <f t="shared" si="37"/>
        <v>3120</v>
      </c>
      <c r="D2426" s="698" t="s">
        <v>2248</v>
      </c>
      <c r="E2426" s="701" t="s">
        <v>10300</v>
      </c>
      <c r="F2426" s="551">
        <v>1</v>
      </c>
      <c r="G2426" s="657">
        <v>0</v>
      </c>
      <c r="H2426" s="657">
        <v>0</v>
      </c>
      <c r="I2426" s="657">
        <v>0</v>
      </c>
      <c r="J2426" s="657">
        <v>19114.439629373097</v>
      </c>
      <c r="K2426" s="654" t="s">
        <v>5033</v>
      </c>
      <c r="M2426" s="540"/>
      <c r="O2426" s="540"/>
    </row>
    <row r="2427" spans="1:15">
      <c r="A2427" s="565">
        <v>3121</v>
      </c>
      <c r="B2427" s="694" t="s">
        <v>7832</v>
      </c>
      <c r="C2427" s="566">
        <f t="shared" si="37"/>
        <v>3121</v>
      </c>
      <c r="D2427" s="698" t="s">
        <v>2248</v>
      </c>
      <c r="E2427" s="701" t="s">
        <v>10301</v>
      </c>
      <c r="F2427" s="551">
        <v>1</v>
      </c>
      <c r="G2427" s="657">
        <v>0</v>
      </c>
      <c r="H2427" s="657">
        <v>0</v>
      </c>
      <c r="I2427" s="657">
        <v>0</v>
      </c>
      <c r="J2427" s="657">
        <v>17819.708867674428</v>
      </c>
      <c r="K2427" s="654" t="s">
        <v>5034</v>
      </c>
      <c r="M2427" s="540"/>
      <c r="O2427" s="540"/>
    </row>
    <row r="2428" spans="1:15">
      <c r="A2428" s="565">
        <v>3122</v>
      </c>
      <c r="B2428" s="694" t="s">
        <v>7833</v>
      </c>
      <c r="C2428" s="566">
        <f t="shared" si="37"/>
        <v>3122</v>
      </c>
      <c r="D2428" s="698" t="s">
        <v>2248</v>
      </c>
      <c r="E2428" s="701" t="s">
        <v>10302</v>
      </c>
      <c r="F2428" s="551">
        <v>1</v>
      </c>
      <c r="G2428" s="657">
        <v>0</v>
      </c>
      <c r="H2428" s="657">
        <v>0</v>
      </c>
      <c r="I2428" s="657">
        <v>0</v>
      </c>
      <c r="J2428" s="657">
        <v>15781.949419859217</v>
      </c>
      <c r="K2428" s="654" t="s">
        <v>5035</v>
      </c>
      <c r="M2428" s="540"/>
      <c r="O2428" s="540"/>
    </row>
    <row r="2429" spans="1:15">
      <c r="A2429" s="565">
        <v>3123</v>
      </c>
      <c r="B2429" s="694" t="s">
        <v>7834</v>
      </c>
      <c r="C2429" s="566">
        <f t="shared" si="37"/>
        <v>3123</v>
      </c>
      <c r="D2429" s="698" t="s">
        <v>2248</v>
      </c>
      <c r="E2429" s="701" t="s">
        <v>10303</v>
      </c>
      <c r="F2429" s="551">
        <v>1</v>
      </c>
      <c r="G2429" s="657">
        <v>0</v>
      </c>
      <c r="H2429" s="657">
        <v>0</v>
      </c>
      <c r="I2429" s="657">
        <v>0</v>
      </c>
      <c r="J2429" s="657">
        <v>14487.218658160542</v>
      </c>
      <c r="K2429" s="654" t="s">
        <v>5036</v>
      </c>
      <c r="M2429" s="540"/>
      <c r="O2429" s="540"/>
    </row>
    <row r="2430" spans="1:15">
      <c r="A2430" s="565">
        <v>3124</v>
      </c>
      <c r="B2430" s="694" t="s">
        <v>7835</v>
      </c>
      <c r="C2430" s="566">
        <f t="shared" si="37"/>
        <v>3124</v>
      </c>
      <c r="D2430" s="698" t="s">
        <v>2248</v>
      </c>
      <c r="E2430" s="701" t="s">
        <v>10304</v>
      </c>
      <c r="F2430" s="551">
        <v>1</v>
      </c>
      <c r="G2430" s="657">
        <v>0</v>
      </c>
      <c r="H2430" s="657">
        <v>0</v>
      </c>
      <c r="I2430" s="657">
        <v>0</v>
      </c>
      <c r="J2430" s="657">
        <v>17509.785967733402</v>
      </c>
      <c r="K2430" s="654" t="s">
        <v>5037</v>
      </c>
      <c r="M2430" s="540"/>
      <c r="O2430" s="540"/>
    </row>
    <row r="2431" spans="1:15">
      <c r="A2431" s="565">
        <v>3125</v>
      </c>
      <c r="B2431" s="694" t="s">
        <v>7836</v>
      </c>
      <c r="C2431" s="566">
        <f t="shared" si="37"/>
        <v>3125</v>
      </c>
      <c r="D2431" s="698" t="s">
        <v>2248</v>
      </c>
      <c r="E2431" s="701" t="s">
        <v>10305</v>
      </c>
      <c r="F2431" s="551">
        <v>1</v>
      </c>
      <c r="G2431" s="657">
        <v>0</v>
      </c>
      <c r="H2431" s="657">
        <v>0</v>
      </c>
      <c r="I2431" s="657">
        <v>0</v>
      </c>
      <c r="J2431" s="657">
        <v>16215.055206034731</v>
      </c>
      <c r="K2431" s="654" t="s">
        <v>5038</v>
      </c>
      <c r="M2431" s="540"/>
      <c r="O2431" s="540"/>
    </row>
    <row r="2432" spans="1:15">
      <c r="A2432" s="565">
        <v>3126</v>
      </c>
      <c r="B2432" s="694" t="s">
        <v>7837</v>
      </c>
      <c r="C2432" s="566">
        <f t="shared" si="37"/>
        <v>3126</v>
      </c>
      <c r="D2432" s="698" t="s">
        <v>2249</v>
      </c>
      <c r="E2432" s="701" t="s">
        <v>10306</v>
      </c>
      <c r="F2432" s="551">
        <v>1</v>
      </c>
      <c r="G2432" s="657">
        <v>0</v>
      </c>
      <c r="H2432" s="657">
        <v>20013.127661498558</v>
      </c>
      <c r="I2432" s="657">
        <v>0</v>
      </c>
      <c r="J2432" s="657">
        <v>0</v>
      </c>
      <c r="K2432" s="654" t="s">
        <v>5039</v>
      </c>
      <c r="M2432" s="540"/>
      <c r="O2432" s="540"/>
    </row>
    <row r="2433" spans="1:15">
      <c r="A2433" s="565">
        <v>3127</v>
      </c>
      <c r="B2433" s="694" t="s">
        <v>7838</v>
      </c>
      <c r="C2433" s="566">
        <f t="shared" si="37"/>
        <v>3127</v>
      </c>
      <c r="D2433" s="698" t="s">
        <v>2249</v>
      </c>
      <c r="E2433" s="701" t="s">
        <v>10307</v>
      </c>
      <c r="F2433" s="551">
        <v>1</v>
      </c>
      <c r="G2433" s="657">
        <v>20585.741053865171</v>
      </c>
      <c r="H2433" s="657">
        <v>21225.882850622442</v>
      </c>
      <c r="I2433" s="657">
        <v>0</v>
      </c>
      <c r="J2433" s="657">
        <v>0</v>
      </c>
      <c r="K2433" s="654" t="s">
        <v>1585</v>
      </c>
      <c r="M2433" s="540"/>
      <c r="O2433" s="540"/>
    </row>
    <row r="2434" spans="1:15">
      <c r="A2434" s="565">
        <v>3128</v>
      </c>
      <c r="B2434" s="694" t="s">
        <v>7839</v>
      </c>
      <c r="C2434" s="566">
        <f t="shared" si="37"/>
        <v>3128</v>
      </c>
      <c r="D2434" s="698" t="s">
        <v>2249</v>
      </c>
      <c r="E2434" s="701" t="s">
        <v>10308</v>
      </c>
      <c r="F2434" s="551">
        <v>1</v>
      </c>
      <c r="G2434" s="657">
        <v>0</v>
      </c>
      <c r="H2434" s="657">
        <v>0</v>
      </c>
      <c r="I2434" s="657">
        <v>21408.359318941395</v>
      </c>
      <c r="J2434" s="657">
        <v>22041.080042237532</v>
      </c>
      <c r="K2434" s="654" t="s">
        <v>4258</v>
      </c>
      <c r="M2434" s="540"/>
      <c r="O2434" s="540"/>
    </row>
    <row r="2435" spans="1:15">
      <c r="A2435" s="565">
        <v>3129</v>
      </c>
      <c r="B2435" s="694" t="s">
        <v>7840</v>
      </c>
      <c r="C2435" s="566">
        <f t="shared" si="37"/>
        <v>3129</v>
      </c>
      <c r="D2435" s="698" t="s">
        <v>2249</v>
      </c>
      <c r="E2435" s="701" t="s">
        <v>10309</v>
      </c>
      <c r="F2435" s="551">
        <v>1</v>
      </c>
      <c r="G2435" s="657">
        <v>0</v>
      </c>
      <c r="H2435" s="657">
        <v>18214.863618903943</v>
      </c>
      <c r="I2435" s="657">
        <v>0</v>
      </c>
      <c r="J2435" s="657">
        <v>0</v>
      </c>
      <c r="K2435" s="654" t="s">
        <v>5040</v>
      </c>
      <c r="M2435" s="540"/>
      <c r="O2435" s="540"/>
    </row>
    <row r="2436" spans="1:15">
      <c r="A2436" s="565">
        <v>3130</v>
      </c>
      <c r="B2436" s="694" t="s">
        <v>7841</v>
      </c>
      <c r="C2436" s="566">
        <f t="shared" si="37"/>
        <v>3130</v>
      </c>
      <c r="D2436" s="698" t="s">
        <v>2249</v>
      </c>
      <c r="E2436" s="701" t="s">
        <v>10310</v>
      </c>
      <c r="F2436" s="551">
        <v>1</v>
      </c>
      <c r="G2436" s="657">
        <v>18253.817346903936</v>
      </c>
      <c r="H2436" s="657">
        <v>0</v>
      </c>
      <c r="I2436" s="657">
        <v>0</v>
      </c>
      <c r="J2436" s="657">
        <v>0</v>
      </c>
      <c r="K2436" s="654" t="s">
        <v>5402</v>
      </c>
      <c r="M2436" s="540"/>
      <c r="O2436" s="540"/>
    </row>
    <row r="2437" spans="1:15">
      <c r="A2437" s="565">
        <v>3131</v>
      </c>
      <c r="B2437" s="694" t="s">
        <v>7842</v>
      </c>
      <c r="C2437" s="566">
        <f t="shared" si="37"/>
        <v>3131</v>
      </c>
      <c r="D2437" s="698" t="s">
        <v>2249</v>
      </c>
      <c r="E2437" s="701" t="s">
        <v>10311</v>
      </c>
      <c r="F2437" s="551">
        <v>1</v>
      </c>
      <c r="G2437" s="657">
        <v>0</v>
      </c>
      <c r="H2437" s="657">
        <v>0</v>
      </c>
      <c r="I2437" s="657">
        <v>23271.231810629914</v>
      </c>
      <c r="J2437" s="657">
        <v>23965.473232918834</v>
      </c>
      <c r="K2437" s="654" t="s">
        <v>4259</v>
      </c>
      <c r="M2437" s="540"/>
      <c r="O2437" s="540"/>
    </row>
    <row r="2438" spans="1:15">
      <c r="A2438" s="565">
        <v>3132</v>
      </c>
      <c r="B2438" s="694" t="s">
        <v>7843</v>
      </c>
      <c r="C2438" s="566">
        <f t="shared" si="37"/>
        <v>3132</v>
      </c>
      <c r="D2438" s="698" t="s">
        <v>2249</v>
      </c>
      <c r="E2438" s="701" t="s">
        <v>10312</v>
      </c>
      <c r="F2438" s="551">
        <v>1</v>
      </c>
      <c r="G2438" s="657">
        <v>0</v>
      </c>
      <c r="H2438" s="657">
        <v>0</v>
      </c>
      <c r="I2438" s="657">
        <v>24613.032253928985</v>
      </c>
      <c r="J2438" s="657">
        <v>25351.577484780861</v>
      </c>
      <c r="K2438" s="654" t="s">
        <v>4260</v>
      </c>
      <c r="M2438" s="540"/>
      <c r="O2438" s="540"/>
    </row>
    <row r="2439" spans="1:15">
      <c r="A2439" s="565">
        <v>3133</v>
      </c>
      <c r="B2439" s="694" t="s">
        <v>7844</v>
      </c>
      <c r="C2439" s="566">
        <f t="shared" si="37"/>
        <v>3133</v>
      </c>
      <c r="D2439" s="698" t="s">
        <v>2249</v>
      </c>
      <c r="E2439" s="701" t="s">
        <v>10313</v>
      </c>
      <c r="F2439" s="551">
        <v>1</v>
      </c>
      <c r="G2439" s="657">
        <v>0</v>
      </c>
      <c r="H2439" s="657">
        <v>0</v>
      </c>
      <c r="I2439" s="657">
        <v>23335.633973913995</v>
      </c>
      <c r="J2439" s="657">
        <v>24031.990402139341</v>
      </c>
      <c r="K2439" s="654" t="s">
        <v>4261</v>
      </c>
      <c r="M2439" s="540"/>
      <c r="O2439" s="540"/>
    </row>
    <row r="2440" spans="1:15">
      <c r="A2440" s="565">
        <v>3134</v>
      </c>
      <c r="B2440" s="694" t="s">
        <v>7845</v>
      </c>
      <c r="C2440" s="566">
        <f t="shared" si="37"/>
        <v>3134</v>
      </c>
      <c r="D2440" s="698" t="s">
        <v>2249</v>
      </c>
      <c r="E2440" s="701" t="s">
        <v>10314</v>
      </c>
      <c r="F2440" s="551">
        <v>1</v>
      </c>
      <c r="G2440" s="657">
        <v>26412.750074927677</v>
      </c>
      <c r="H2440" s="657">
        <v>0</v>
      </c>
      <c r="I2440" s="657">
        <v>0</v>
      </c>
      <c r="J2440" s="657">
        <v>0</v>
      </c>
      <c r="K2440" s="654" t="s">
        <v>5403</v>
      </c>
      <c r="M2440" s="540"/>
      <c r="O2440" s="540"/>
    </row>
    <row r="2441" spans="1:15">
      <c r="A2441" s="565">
        <v>3135</v>
      </c>
      <c r="B2441" s="694" t="s">
        <v>7846</v>
      </c>
      <c r="C2441" s="566">
        <f t="shared" ref="C2441:C2490" si="38">A2441</f>
        <v>3135</v>
      </c>
      <c r="D2441" s="698" t="s">
        <v>2249</v>
      </c>
      <c r="E2441" s="701" t="s">
        <v>10315</v>
      </c>
      <c r="F2441" s="551">
        <v>1</v>
      </c>
      <c r="G2441" s="657">
        <v>23883.513720295592</v>
      </c>
      <c r="H2441" s="657">
        <v>0</v>
      </c>
      <c r="I2441" s="657">
        <v>0</v>
      </c>
      <c r="J2441" s="657">
        <v>0</v>
      </c>
      <c r="K2441" s="654" t="s">
        <v>5404</v>
      </c>
      <c r="M2441" s="540"/>
      <c r="O2441" s="540"/>
    </row>
    <row r="2442" spans="1:15">
      <c r="A2442" s="565">
        <v>3136</v>
      </c>
      <c r="B2442" s="694" t="s">
        <v>7847</v>
      </c>
      <c r="C2442" s="566">
        <f t="shared" si="38"/>
        <v>3136</v>
      </c>
      <c r="D2442" s="698" t="s">
        <v>2249</v>
      </c>
      <c r="E2442" s="701" t="s">
        <v>10316</v>
      </c>
      <c r="F2442" s="551">
        <v>1</v>
      </c>
      <c r="G2442" s="657">
        <v>30994.633679078008</v>
      </c>
      <c r="H2442" s="657">
        <v>31980.634604491344</v>
      </c>
      <c r="I2442" s="657">
        <v>33018.545938765303</v>
      </c>
      <c r="J2442" s="657">
        <v>34111.076373713193</v>
      </c>
      <c r="K2442" s="654" t="s">
        <v>1586</v>
      </c>
      <c r="M2442" s="540"/>
      <c r="O2442" s="540"/>
    </row>
    <row r="2443" spans="1:15">
      <c r="A2443" s="565">
        <v>3137</v>
      </c>
      <c r="B2443" s="694" t="s">
        <v>7848</v>
      </c>
      <c r="C2443" s="566">
        <f t="shared" si="38"/>
        <v>3137</v>
      </c>
      <c r="D2443" s="698" t="s">
        <v>2249</v>
      </c>
      <c r="E2443" s="701" t="s">
        <v>10317</v>
      </c>
      <c r="F2443" s="551">
        <v>1</v>
      </c>
      <c r="G2443" s="657">
        <v>20506.296313997023</v>
      </c>
      <c r="H2443" s="657">
        <v>0</v>
      </c>
      <c r="I2443" s="657">
        <v>0</v>
      </c>
      <c r="J2443" s="657">
        <v>0</v>
      </c>
      <c r="K2443" s="654" t="s">
        <v>5405</v>
      </c>
      <c r="M2443" s="540"/>
      <c r="O2443" s="540"/>
    </row>
    <row r="2444" spans="1:15">
      <c r="A2444" s="565">
        <v>3138</v>
      </c>
      <c r="B2444" s="694" t="s">
        <v>7849</v>
      </c>
      <c r="C2444" s="566">
        <f t="shared" si="38"/>
        <v>3138</v>
      </c>
      <c r="D2444" s="698" t="s">
        <v>2249</v>
      </c>
      <c r="E2444" s="701" t="s">
        <v>10318</v>
      </c>
      <c r="F2444" s="551">
        <v>1</v>
      </c>
      <c r="G2444" s="657">
        <v>24811.799194995714</v>
      </c>
      <c r="H2444" s="657">
        <v>0</v>
      </c>
      <c r="I2444" s="657">
        <v>0</v>
      </c>
      <c r="J2444" s="657">
        <v>0</v>
      </c>
      <c r="K2444" s="654" t="s">
        <v>5406</v>
      </c>
      <c r="M2444" s="540"/>
      <c r="O2444" s="540"/>
    </row>
    <row r="2445" spans="1:15">
      <c r="A2445" s="565">
        <v>3139</v>
      </c>
      <c r="B2445" s="694" t="s">
        <v>7850</v>
      </c>
      <c r="C2445" s="566">
        <f t="shared" si="38"/>
        <v>3139</v>
      </c>
      <c r="D2445" s="698" t="s">
        <v>2249</v>
      </c>
      <c r="E2445" s="701" t="s">
        <v>10319</v>
      </c>
      <c r="F2445" s="551">
        <v>1</v>
      </c>
      <c r="G2445" s="657">
        <v>0</v>
      </c>
      <c r="H2445" s="657">
        <v>25690.446673507351</v>
      </c>
      <c r="I2445" s="657">
        <v>0</v>
      </c>
      <c r="J2445" s="657">
        <v>0</v>
      </c>
      <c r="K2445" s="654" t="s">
        <v>3261</v>
      </c>
      <c r="M2445" s="540"/>
      <c r="O2445" s="540"/>
    </row>
    <row r="2446" spans="1:15">
      <c r="A2446" s="565">
        <v>3140</v>
      </c>
      <c r="B2446" s="694" t="s">
        <v>7851</v>
      </c>
      <c r="C2446" s="566">
        <f t="shared" si="38"/>
        <v>3140</v>
      </c>
      <c r="D2446" s="698" t="s">
        <v>2249</v>
      </c>
      <c r="E2446" s="701" t="s">
        <v>10320</v>
      </c>
      <c r="F2446" s="551">
        <v>1</v>
      </c>
      <c r="G2446" s="657">
        <v>26357.029512756922</v>
      </c>
      <c r="H2446" s="657">
        <v>0</v>
      </c>
      <c r="I2446" s="657">
        <v>0</v>
      </c>
      <c r="J2446" s="657">
        <v>0</v>
      </c>
      <c r="K2446" s="654" t="s">
        <v>5407</v>
      </c>
      <c r="M2446" s="540"/>
      <c r="O2446" s="540"/>
    </row>
    <row r="2447" spans="1:15">
      <c r="A2447" s="565">
        <v>3141</v>
      </c>
      <c r="B2447" s="694" t="s">
        <v>7852</v>
      </c>
      <c r="C2447" s="566">
        <f t="shared" si="38"/>
        <v>3141</v>
      </c>
      <c r="D2447" s="698" t="s">
        <v>2249</v>
      </c>
      <c r="E2447" s="701" t="s">
        <v>10321</v>
      </c>
      <c r="F2447" s="551">
        <v>1</v>
      </c>
      <c r="G2447" s="657">
        <v>23571.519936749646</v>
      </c>
      <c r="H2447" s="657">
        <v>23571.519936749646</v>
      </c>
      <c r="I2447" s="657">
        <v>23571.519936749646</v>
      </c>
      <c r="J2447" s="657">
        <v>24274.406909620786</v>
      </c>
      <c r="K2447" s="654" t="s">
        <v>2187</v>
      </c>
      <c r="M2447" s="540"/>
      <c r="O2447" s="540"/>
    </row>
    <row r="2448" spans="1:15">
      <c r="A2448" s="565">
        <v>3142</v>
      </c>
      <c r="B2448" s="694" t="s">
        <v>7853</v>
      </c>
      <c r="C2448" s="566">
        <f t="shared" si="38"/>
        <v>3142</v>
      </c>
      <c r="D2448" s="698" t="s">
        <v>2249</v>
      </c>
      <c r="E2448" s="701" t="s">
        <v>10322</v>
      </c>
      <c r="F2448" s="551">
        <v>1</v>
      </c>
      <c r="G2448" s="657">
        <v>24636.01850342879</v>
      </c>
      <c r="H2448" s="657">
        <v>25374.044259138394</v>
      </c>
      <c r="I2448" s="657">
        <v>26150.882229049723</v>
      </c>
      <c r="J2448" s="657">
        <v>26968.64741909919</v>
      </c>
      <c r="K2448" s="654" t="s">
        <v>2188</v>
      </c>
      <c r="M2448" s="540"/>
      <c r="O2448" s="540"/>
    </row>
    <row r="2449" spans="1:15">
      <c r="A2449" s="565">
        <v>3143</v>
      </c>
      <c r="B2449" s="694" t="s">
        <v>7854</v>
      </c>
      <c r="C2449" s="566">
        <f t="shared" si="38"/>
        <v>3143</v>
      </c>
      <c r="D2449" s="698" t="s">
        <v>2249</v>
      </c>
      <c r="E2449" s="701" t="s">
        <v>10323</v>
      </c>
      <c r="F2449" s="551">
        <v>1</v>
      </c>
      <c r="G2449" s="657">
        <v>0</v>
      </c>
      <c r="H2449" s="657">
        <v>0</v>
      </c>
      <c r="I2449" s="657">
        <v>32492.017925520915</v>
      </c>
      <c r="J2449" s="657">
        <v>33489.484409431701</v>
      </c>
      <c r="K2449" s="654" t="s">
        <v>4262</v>
      </c>
      <c r="M2449" s="540"/>
      <c r="O2449" s="540"/>
    </row>
    <row r="2450" spans="1:15">
      <c r="A2450" s="565">
        <v>3144</v>
      </c>
      <c r="B2450" s="694" t="s">
        <v>7855</v>
      </c>
      <c r="C2450" s="566">
        <f t="shared" si="38"/>
        <v>3144</v>
      </c>
      <c r="D2450" s="698" t="s">
        <v>2249</v>
      </c>
      <c r="E2450" s="701" t="s">
        <v>10324</v>
      </c>
      <c r="F2450" s="551">
        <v>1</v>
      </c>
      <c r="G2450" s="657">
        <v>39538.99843693689</v>
      </c>
      <c r="H2450" s="657">
        <v>0</v>
      </c>
      <c r="I2450" s="657">
        <v>0</v>
      </c>
      <c r="J2450" s="657">
        <v>0</v>
      </c>
      <c r="K2450" s="654" t="s">
        <v>5408</v>
      </c>
      <c r="M2450" s="540"/>
      <c r="O2450" s="540"/>
    </row>
    <row r="2451" spans="1:15">
      <c r="A2451" s="565">
        <v>3145</v>
      </c>
      <c r="B2451" s="694" t="s">
        <v>7856</v>
      </c>
      <c r="C2451" s="566">
        <f t="shared" si="38"/>
        <v>3145</v>
      </c>
      <c r="D2451" s="698" t="s">
        <v>2249</v>
      </c>
      <c r="E2451" s="701" t="s">
        <v>10325</v>
      </c>
      <c r="F2451" s="551">
        <v>1</v>
      </c>
      <c r="G2451" s="657">
        <v>26184.863917946957</v>
      </c>
      <c r="H2451" s="657">
        <v>27017.879413959046</v>
      </c>
      <c r="I2451" s="657">
        <v>27850.894909971143</v>
      </c>
      <c r="J2451" s="657">
        <v>28727.768950138528</v>
      </c>
      <c r="K2451" s="654" t="s">
        <v>2189</v>
      </c>
      <c r="M2451" s="540"/>
      <c r="O2451" s="540"/>
    </row>
    <row r="2452" spans="1:15">
      <c r="A2452" s="565">
        <v>3146</v>
      </c>
      <c r="B2452" s="694" t="s">
        <v>7857</v>
      </c>
      <c r="C2452" s="566">
        <f t="shared" si="38"/>
        <v>3146</v>
      </c>
      <c r="D2452" s="698" t="s">
        <v>2249</v>
      </c>
      <c r="E2452" s="701" t="s">
        <v>10326</v>
      </c>
      <c r="F2452" s="551">
        <v>1</v>
      </c>
      <c r="G2452" s="657">
        <v>0</v>
      </c>
      <c r="H2452" s="657">
        <v>28361.763486805808</v>
      </c>
      <c r="I2452" s="657">
        <v>29222.793535133682</v>
      </c>
      <c r="J2452" s="657">
        <v>30129.166342309072</v>
      </c>
      <c r="K2452" s="654" t="s">
        <v>3262</v>
      </c>
      <c r="M2452" s="540"/>
      <c r="O2452" s="540"/>
    </row>
    <row r="2453" spans="1:15">
      <c r="A2453" s="565">
        <v>3147</v>
      </c>
      <c r="B2453" s="694" t="s">
        <v>7858</v>
      </c>
      <c r="C2453" s="566">
        <f t="shared" si="38"/>
        <v>3147</v>
      </c>
      <c r="D2453" s="698" t="s">
        <v>2249</v>
      </c>
      <c r="E2453" s="701" t="s">
        <v>10327</v>
      </c>
      <c r="F2453" s="551">
        <v>1</v>
      </c>
      <c r="G2453" s="657">
        <v>0</v>
      </c>
      <c r="H2453" s="657">
        <v>0</v>
      </c>
      <c r="I2453" s="657">
        <v>42897.491414809629</v>
      </c>
      <c r="J2453" s="657">
        <v>44238.553599970837</v>
      </c>
      <c r="K2453" s="654" t="s">
        <v>4263</v>
      </c>
      <c r="M2453" s="540"/>
      <c r="O2453" s="540"/>
    </row>
    <row r="2454" spans="1:15">
      <c r="A2454" s="565">
        <v>3148</v>
      </c>
      <c r="B2454" s="694" t="s">
        <v>7859</v>
      </c>
      <c r="C2454" s="566">
        <f t="shared" si="38"/>
        <v>3148</v>
      </c>
      <c r="D2454" s="698" t="s">
        <v>2249</v>
      </c>
      <c r="E2454" s="701" t="s">
        <v>10328</v>
      </c>
      <c r="F2454" s="551">
        <v>1</v>
      </c>
      <c r="G2454" s="657">
        <v>0</v>
      </c>
      <c r="H2454" s="657">
        <v>0</v>
      </c>
      <c r="I2454" s="657">
        <v>0</v>
      </c>
      <c r="J2454" s="657">
        <v>31661.709043511182</v>
      </c>
      <c r="K2454" s="654" t="s">
        <v>5041</v>
      </c>
      <c r="M2454" s="540"/>
      <c r="O2454" s="540"/>
    </row>
    <row r="2455" spans="1:15">
      <c r="A2455" s="565">
        <v>3149</v>
      </c>
      <c r="B2455" s="694" t="s">
        <v>7860</v>
      </c>
      <c r="C2455" s="566">
        <f t="shared" si="38"/>
        <v>3149</v>
      </c>
      <c r="D2455" s="698" t="s">
        <v>2249</v>
      </c>
      <c r="E2455" s="701" t="s">
        <v>10329</v>
      </c>
      <c r="F2455" s="551">
        <v>1</v>
      </c>
      <c r="G2455" s="657">
        <v>0</v>
      </c>
      <c r="H2455" s="657">
        <v>0</v>
      </c>
      <c r="I2455" s="657">
        <v>0</v>
      </c>
      <c r="J2455" s="657">
        <v>32726.207610190333</v>
      </c>
      <c r="K2455" s="654" t="s">
        <v>5042</v>
      </c>
      <c r="M2455" s="540"/>
      <c r="O2455" s="540"/>
    </row>
    <row r="2456" spans="1:15">
      <c r="A2456" s="565">
        <v>3150</v>
      </c>
      <c r="B2456" s="694" t="s">
        <v>7861</v>
      </c>
      <c r="C2456" s="566">
        <f t="shared" si="38"/>
        <v>3150</v>
      </c>
      <c r="D2456" s="698" t="s">
        <v>2249</v>
      </c>
      <c r="E2456" s="701" t="s">
        <v>10330</v>
      </c>
      <c r="F2456" s="551">
        <v>1</v>
      </c>
      <c r="G2456" s="657">
        <v>0</v>
      </c>
      <c r="H2456" s="657">
        <v>0</v>
      </c>
      <c r="I2456" s="657">
        <v>0</v>
      </c>
      <c r="J2456" s="657">
        <v>36877.752020239015</v>
      </c>
      <c r="K2456" s="654" t="s">
        <v>5043</v>
      </c>
      <c r="M2456" s="540"/>
      <c r="O2456" s="540"/>
    </row>
    <row r="2457" spans="1:15">
      <c r="A2457" s="565">
        <v>3151</v>
      </c>
      <c r="B2457" s="694" t="s">
        <v>7862</v>
      </c>
      <c r="C2457" s="566">
        <f t="shared" si="38"/>
        <v>3151</v>
      </c>
      <c r="D2457" s="698" t="s">
        <v>2249</v>
      </c>
      <c r="E2457" s="701" t="s">
        <v>10331</v>
      </c>
      <c r="F2457" s="551">
        <v>1</v>
      </c>
      <c r="G2457" s="657">
        <v>0</v>
      </c>
      <c r="H2457" s="657">
        <v>37143.876661908806</v>
      </c>
      <c r="I2457" s="657">
        <v>0</v>
      </c>
      <c r="J2457" s="657">
        <v>0</v>
      </c>
      <c r="K2457" s="654" t="s">
        <v>5044</v>
      </c>
      <c r="M2457" s="540"/>
      <c r="O2457" s="540"/>
    </row>
    <row r="2458" spans="1:15">
      <c r="A2458" s="565">
        <v>3152</v>
      </c>
      <c r="B2458" s="694" t="s">
        <v>7863</v>
      </c>
      <c r="C2458" s="566">
        <f t="shared" si="38"/>
        <v>3152</v>
      </c>
      <c r="D2458" s="698" t="s">
        <v>2249</v>
      </c>
      <c r="E2458" s="701" t="s">
        <v>10332</v>
      </c>
      <c r="F2458" s="551">
        <v>1</v>
      </c>
      <c r="G2458" s="657">
        <v>39121.721097324451</v>
      </c>
      <c r="H2458" s="657">
        <v>0</v>
      </c>
      <c r="I2458" s="657">
        <v>0</v>
      </c>
      <c r="J2458" s="657">
        <v>0</v>
      </c>
      <c r="K2458" s="654" t="s">
        <v>5409</v>
      </c>
      <c r="M2458" s="540"/>
      <c r="O2458" s="540"/>
    </row>
    <row r="2459" spans="1:15">
      <c r="A2459" s="565">
        <v>3153</v>
      </c>
      <c r="B2459" s="694" t="s">
        <v>7864</v>
      </c>
      <c r="C2459" s="566">
        <f t="shared" si="38"/>
        <v>3153</v>
      </c>
      <c r="D2459" s="698" t="s">
        <v>2249</v>
      </c>
      <c r="E2459" s="701" t="s">
        <v>10333</v>
      </c>
      <c r="F2459" s="551">
        <v>1</v>
      </c>
      <c r="G2459" s="657">
        <v>43667.236594880182</v>
      </c>
      <c r="H2459" s="657">
        <v>0</v>
      </c>
      <c r="I2459" s="657">
        <v>0</v>
      </c>
      <c r="J2459" s="657">
        <v>0</v>
      </c>
      <c r="K2459" s="654" t="s">
        <v>5410</v>
      </c>
      <c r="M2459" s="540"/>
      <c r="O2459" s="540"/>
    </row>
    <row r="2460" spans="1:15">
      <c r="A2460" s="565">
        <v>3154</v>
      </c>
      <c r="B2460" s="694" t="s">
        <v>7865</v>
      </c>
      <c r="C2460" s="566">
        <f t="shared" si="38"/>
        <v>3154</v>
      </c>
      <c r="D2460" s="698" t="s">
        <v>2249</v>
      </c>
      <c r="E2460" s="701" t="s">
        <v>10334</v>
      </c>
      <c r="F2460" s="551">
        <v>1</v>
      </c>
      <c r="G2460" s="657">
        <v>0</v>
      </c>
      <c r="H2460" s="657">
        <v>0</v>
      </c>
      <c r="I2460" s="657">
        <v>39065.296574764681</v>
      </c>
      <c r="J2460" s="657">
        <v>40279.82945741358</v>
      </c>
      <c r="K2460" s="654" t="s">
        <v>4264</v>
      </c>
      <c r="M2460" s="540"/>
      <c r="O2460" s="540"/>
    </row>
    <row r="2461" spans="1:15">
      <c r="A2461" s="565">
        <v>3155</v>
      </c>
      <c r="B2461" s="694" t="s">
        <v>7866</v>
      </c>
      <c r="C2461" s="566">
        <f t="shared" si="38"/>
        <v>3155</v>
      </c>
      <c r="D2461" s="698" t="s">
        <v>2249</v>
      </c>
      <c r="E2461" s="701" t="s">
        <v>10335</v>
      </c>
      <c r="F2461" s="551">
        <v>1</v>
      </c>
      <c r="G2461" s="657">
        <v>0</v>
      </c>
      <c r="H2461" s="657">
        <v>0</v>
      </c>
      <c r="I2461" s="657">
        <v>0</v>
      </c>
      <c r="J2461" s="657">
        <v>48054.986970370119</v>
      </c>
      <c r="K2461" s="654" t="s">
        <v>5045</v>
      </c>
      <c r="M2461" s="540"/>
      <c r="O2461" s="540"/>
    </row>
    <row r="2462" spans="1:15">
      <c r="A2462" s="565">
        <v>3156</v>
      </c>
      <c r="B2462" s="694" t="s">
        <v>7867</v>
      </c>
      <c r="C2462" s="566">
        <f t="shared" si="38"/>
        <v>3156</v>
      </c>
      <c r="D2462" s="698" t="s">
        <v>2249</v>
      </c>
      <c r="E2462" s="701" t="s">
        <v>10336</v>
      </c>
      <c r="F2462" s="551">
        <v>1</v>
      </c>
      <c r="G2462" s="657">
        <v>0</v>
      </c>
      <c r="H2462" s="657">
        <v>0</v>
      </c>
      <c r="I2462" s="657">
        <v>25434.392428438157</v>
      </c>
      <c r="J2462" s="657">
        <v>26198.800100302087</v>
      </c>
      <c r="K2462" s="654" t="s">
        <v>4265</v>
      </c>
      <c r="M2462" s="540"/>
      <c r="O2462" s="540"/>
    </row>
    <row r="2463" spans="1:15">
      <c r="A2463" s="565">
        <v>3157</v>
      </c>
      <c r="B2463" s="694" t="s">
        <v>7868</v>
      </c>
      <c r="C2463" s="566">
        <f t="shared" si="38"/>
        <v>3157</v>
      </c>
      <c r="D2463" s="698" t="s">
        <v>2249</v>
      </c>
      <c r="E2463" s="701" t="s">
        <v>10337</v>
      </c>
      <c r="F2463" s="551">
        <v>1</v>
      </c>
      <c r="G2463" s="657">
        <v>0</v>
      </c>
      <c r="H2463" s="657">
        <v>0</v>
      </c>
      <c r="I2463" s="657">
        <v>28894.012770145386</v>
      </c>
      <c r="J2463" s="657">
        <v>29772.630762576144</v>
      </c>
      <c r="K2463" s="654" t="s">
        <v>4266</v>
      </c>
      <c r="M2463" s="540"/>
      <c r="O2463" s="540"/>
    </row>
    <row r="2464" spans="1:15">
      <c r="A2464" s="565">
        <v>3158</v>
      </c>
      <c r="B2464" s="694" t="s">
        <v>7869</v>
      </c>
      <c r="C2464" s="566">
        <f t="shared" si="38"/>
        <v>3158</v>
      </c>
      <c r="D2464" s="698" t="s">
        <v>2249</v>
      </c>
      <c r="E2464" s="701" t="s">
        <v>10338</v>
      </c>
      <c r="F2464" s="551">
        <v>1</v>
      </c>
      <c r="G2464" s="657">
        <v>0</v>
      </c>
      <c r="H2464" s="657">
        <v>0</v>
      </c>
      <c r="I2464" s="657">
        <v>31289.134545173474</v>
      </c>
      <c r="J2464" s="657">
        <v>32246.861180699907</v>
      </c>
      <c r="K2464" s="654" t="s">
        <v>4267</v>
      </c>
      <c r="M2464" s="540"/>
      <c r="O2464" s="540"/>
    </row>
    <row r="2465" spans="1:15">
      <c r="A2465" s="565">
        <v>3159</v>
      </c>
      <c r="B2465" s="694" t="s">
        <v>7870</v>
      </c>
      <c r="C2465" s="566">
        <f t="shared" si="38"/>
        <v>3159</v>
      </c>
      <c r="D2465" s="698" t="s">
        <v>2249</v>
      </c>
      <c r="E2465" s="701" t="s">
        <v>10339</v>
      </c>
      <c r="F2465" s="551">
        <v>1</v>
      </c>
      <c r="G2465" s="657">
        <v>0</v>
      </c>
      <c r="H2465" s="657">
        <v>0</v>
      </c>
      <c r="I2465" s="657">
        <v>27297.264920126665</v>
      </c>
      <c r="J2465" s="657">
        <v>28123.156185616084</v>
      </c>
      <c r="K2465" s="654" t="s">
        <v>4268</v>
      </c>
      <c r="M2465" s="540"/>
      <c r="O2465" s="540"/>
    </row>
    <row r="2466" spans="1:15">
      <c r="A2466" s="565">
        <v>3160</v>
      </c>
      <c r="B2466" s="694" t="s">
        <v>7871</v>
      </c>
      <c r="C2466" s="566">
        <f t="shared" si="38"/>
        <v>3160</v>
      </c>
      <c r="D2466" s="698" t="s">
        <v>2249</v>
      </c>
      <c r="E2466" s="701" t="s">
        <v>10340</v>
      </c>
      <c r="F2466" s="551">
        <v>1</v>
      </c>
      <c r="G2466" s="657">
        <v>0</v>
      </c>
      <c r="H2466" s="657">
        <v>0</v>
      </c>
      <c r="I2466" s="657">
        <v>0</v>
      </c>
      <c r="J2466" s="657">
        <v>24636.01850342879</v>
      </c>
      <c r="K2466" s="654" t="s">
        <v>5046</v>
      </c>
      <c r="M2466" s="540"/>
      <c r="O2466" s="540"/>
    </row>
    <row r="2467" spans="1:15">
      <c r="A2467" s="565">
        <v>3161</v>
      </c>
      <c r="B2467" s="694" t="s">
        <v>7872</v>
      </c>
      <c r="C2467" s="566">
        <f t="shared" si="38"/>
        <v>3161</v>
      </c>
      <c r="D2467" s="698" t="s">
        <v>2249</v>
      </c>
      <c r="E2467" s="701" t="s">
        <v>10341</v>
      </c>
      <c r="F2467" s="551">
        <v>1</v>
      </c>
      <c r="G2467" s="657">
        <v>0</v>
      </c>
      <c r="H2467" s="657">
        <v>0</v>
      </c>
      <c r="I2467" s="657">
        <v>0</v>
      </c>
      <c r="J2467" s="657">
        <v>26498.890995117308</v>
      </c>
      <c r="K2467" s="654" t="s">
        <v>5047</v>
      </c>
      <c r="M2467" s="540"/>
      <c r="O2467" s="540"/>
    </row>
    <row r="2468" spans="1:15">
      <c r="A2468" s="565">
        <v>3162</v>
      </c>
      <c r="B2468" s="694" t="s">
        <v>7873</v>
      </c>
      <c r="C2468" s="566">
        <f t="shared" si="38"/>
        <v>3162</v>
      </c>
      <c r="D2468" s="698" t="s">
        <v>2249</v>
      </c>
      <c r="E2468" s="701" t="s">
        <v>10342</v>
      </c>
      <c r="F2468" s="551">
        <v>1</v>
      </c>
      <c r="G2468" s="657">
        <v>0</v>
      </c>
      <c r="H2468" s="657">
        <v>0</v>
      </c>
      <c r="I2468" s="657">
        <v>0</v>
      </c>
      <c r="J2468" s="657">
        <v>23039.270653410062</v>
      </c>
      <c r="K2468" s="654" t="s">
        <v>5048</v>
      </c>
      <c r="M2468" s="540"/>
      <c r="O2468" s="540"/>
    </row>
    <row r="2469" spans="1:15">
      <c r="A2469" s="565">
        <v>3163</v>
      </c>
      <c r="B2469" s="694" t="s">
        <v>7874</v>
      </c>
      <c r="C2469" s="566">
        <f t="shared" si="38"/>
        <v>3163</v>
      </c>
      <c r="D2469" s="698" t="s">
        <v>2249</v>
      </c>
      <c r="E2469" s="701" t="s">
        <v>10343</v>
      </c>
      <c r="F2469" s="551">
        <v>1</v>
      </c>
      <c r="G2469" s="657">
        <v>0</v>
      </c>
      <c r="H2469" s="657">
        <v>0</v>
      </c>
      <c r="I2469" s="657">
        <v>0</v>
      </c>
      <c r="J2469" s="657">
        <v>21974.772086730914</v>
      </c>
      <c r="K2469" s="654" t="s">
        <v>5049</v>
      </c>
      <c r="M2469" s="540"/>
      <c r="O2469" s="540"/>
    </row>
    <row r="2470" spans="1:15">
      <c r="A2470" s="565">
        <v>3164</v>
      </c>
      <c r="B2470" s="694" t="s">
        <v>7875</v>
      </c>
      <c r="C2470" s="566">
        <f t="shared" si="38"/>
        <v>3164</v>
      </c>
      <c r="D2470" s="698" t="s">
        <v>2249</v>
      </c>
      <c r="E2470" s="701" t="s">
        <v>10344</v>
      </c>
      <c r="F2470" s="551">
        <v>1</v>
      </c>
      <c r="G2470" s="657">
        <v>0</v>
      </c>
      <c r="H2470" s="657">
        <v>0</v>
      </c>
      <c r="I2470" s="657">
        <v>0</v>
      </c>
      <c r="J2470" s="657">
        <v>24369.893861759007</v>
      </c>
      <c r="K2470" s="654" t="s">
        <v>5050</v>
      </c>
      <c r="M2470" s="540"/>
      <c r="O2470" s="540"/>
    </row>
    <row r="2471" spans="1:15">
      <c r="A2471" s="565">
        <v>3165</v>
      </c>
      <c r="B2471" s="694" t="s">
        <v>7876</v>
      </c>
      <c r="C2471" s="566">
        <f t="shared" si="38"/>
        <v>3165</v>
      </c>
      <c r="D2471" s="698" t="s">
        <v>2249</v>
      </c>
      <c r="E2471" s="701" t="s">
        <v>10345</v>
      </c>
      <c r="F2471" s="551">
        <v>1</v>
      </c>
      <c r="G2471" s="657">
        <v>0</v>
      </c>
      <c r="H2471" s="657">
        <v>0</v>
      </c>
      <c r="I2471" s="657">
        <v>0</v>
      </c>
      <c r="J2471" s="657">
        <v>28361.763486805808</v>
      </c>
      <c r="K2471" s="654" t="s">
        <v>5051</v>
      </c>
      <c r="M2471" s="540"/>
      <c r="O2471" s="540"/>
    </row>
    <row r="2472" spans="1:15">
      <c r="A2472" s="565">
        <v>3166</v>
      </c>
      <c r="B2472" s="694" t="s">
        <v>7877</v>
      </c>
      <c r="C2472" s="566">
        <f t="shared" si="38"/>
        <v>3166</v>
      </c>
      <c r="D2472" s="698" t="s">
        <v>2249</v>
      </c>
      <c r="E2472" s="701" t="s">
        <v>10346</v>
      </c>
      <c r="F2472" s="551">
        <v>1</v>
      </c>
      <c r="G2472" s="657">
        <v>0</v>
      </c>
      <c r="H2472" s="657">
        <v>0</v>
      </c>
      <c r="I2472" s="657">
        <v>0</v>
      </c>
      <c r="J2472" s="657">
        <v>33787.23558829572</v>
      </c>
      <c r="K2472" s="654" t="s">
        <v>5052</v>
      </c>
      <c r="M2472" s="540"/>
      <c r="O2472" s="540"/>
    </row>
    <row r="2473" spans="1:15">
      <c r="A2473" s="565">
        <v>3167</v>
      </c>
      <c r="B2473" s="694" t="s">
        <v>7878</v>
      </c>
      <c r="C2473" s="566">
        <f t="shared" si="38"/>
        <v>3167</v>
      </c>
      <c r="D2473" s="698" t="s">
        <v>2249</v>
      </c>
      <c r="E2473" s="701" t="s">
        <v>10347</v>
      </c>
      <c r="F2473" s="551">
        <v>1</v>
      </c>
      <c r="G2473" s="657">
        <v>0</v>
      </c>
      <c r="H2473" s="657">
        <v>0</v>
      </c>
      <c r="I2473" s="657">
        <v>30756.885261833897</v>
      </c>
      <c r="J2473" s="657">
        <v>31697.023953257445</v>
      </c>
      <c r="K2473" s="654" t="s">
        <v>4269</v>
      </c>
      <c r="M2473" s="540"/>
      <c r="O2473" s="540"/>
    </row>
    <row r="2474" spans="1:15">
      <c r="A2474" s="565">
        <v>3168</v>
      </c>
      <c r="B2474" s="694" t="s">
        <v>7879</v>
      </c>
      <c r="C2474" s="566">
        <f t="shared" si="38"/>
        <v>3168</v>
      </c>
      <c r="D2474" s="698" t="s">
        <v>2249</v>
      </c>
      <c r="E2474" s="701" t="s">
        <v>10348</v>
      </c>
      <c r="F2474" s="551">
        <v>1</v>
      </c>
      <c r="G2474" s="657">
        <v>0</v>
      </c>
      <c r="H2474" s="657">
        <v>0</v>
      </c>
      <c r="I2474" s="657">
        <v>0</v>
      </c>
      <c r="J2474" s="657">
        <v>31714.933971845134</v>
      </c>
      <c r="K2474" s="654" t="s">
        <v>5053</v>
      </c>
      <c r="M2474" s="540"/>
      <c r="O2474" s="540"/>
    </row>
    <row r="2475" spans="1:15">
      <c r="A2475" s="565">
        <v>3169</v>
      </c>
      <c r="B2475" s="694" t="s">
        <v>7880</v>
      </c>
      <c r="C2475" s="566">
        <f t="shared" si="38"/>
        <v>3169</v>
      </c>
      <c r="D2475" s="698" t="s">
        <v>2249</v>
      </c>
      <c r="E2475" s="701" t="s">
        <v>10349</v>
      </c>
      <c r="F2475" s="551">
        <v>1</v>
      </c>
      <c r="G2475" s="657">
        <v>0</v>
      </c>
      <c r="H2475" s="657">
        <v>0</v>
      </c>
      <c r="I2475" s="657">
        <v>29160.137411815176</v>
      </c>
      <c r="J2475" s="657">
        <v>30047.549376297371</v>
      </c>
      <c r="K2475" s="654" t="s">
        <v>4270</v>
      </c>
      <c r="M2475" s="540"/>
      <c r="O2475" s="540"/>
    </row>
    <row r="2476" spans="1:15">
      <c r="A2476" s="565">
        <v>3170</v>
      </c>
      <c r="B2476" s="694" t="s">
        <v>7881</v>
      </c>
      <c r="C2476" s="566">
        <f t="shared" si="38"/>
        <v>3170</v>
      </c>
      <c r="D2476" s="698" t="s">
        <v>2249</v>
      </c>
      <c r="E2476" s="701" t="s">
        <v>10350</v>
      </c>
      <c r="F2476" s="551">
        <v>1</v>
      </c>
      <c r="G2476" s="657">
        <v>35244.657592957621</v>
      </c>
      <c r="H2476" s="657">
        <v>0</v>
      </c>
      <c r="I2476" s="657">
        <v>0</v>
      </c>
      <c r="J2476" s="657">
        <v>0</v>
      </c>
      <c r="K2476" s="654" t="s">
        <v>5411</v>
      </c>
      <c r="M2476" s="540"/>
      <c r="O2476" s="540"/>
    </row>
    <row r="2477" spans="1:15">
      <c r="A2477" s="565">
        <v>3171</v>
      </c>
      <c r="B2477" s="694" t="s">
        <v>7882</v>
      </c>
      <c r="C2477" s="566">
        <f t="shared" si="38"/>
        <v>3171</v>
      </c>
      <c r="D2477" s="698" t="s">
        <v>2249</v>
      </c>
      <c r="E2477" s="701" t="s">
        <v>10351</v>
      </c>
      <c r="F2477" s="551">
        <v>1</v>
      </c>
      <c r="G2477" s="657">
        <v>0</v>
      </c>
      <c r="H2477" s="657">
        <v>0</v>
      </c>
      <c r="I2477" s="657">
        <v>31081.557324671041</v>
      </c>
      <c r="J2477" s="657">
        <v>32032.419467245916</v>
      </c>
      <c r="K2477" s="654" t="s">
        <v>4271</v>
      </c>
      <c r="M2477" s="540"/>
      <c r="O2477" s="540"/>
    </row>
    <row r="2478" spans="1:15">
      <c r="A2478" s="565">
        <v>3172</v>
      </c>
      <c r="B2478" s="694" t="s">
        <v>7883</v>
      </c>
      <c r="C2478" s="566">
        <f t="shared" si="38"/>
        <v>3172</v>
      </c>
      <c r="D2478" s="698" t="s">
        <v>2249</v>
      </c>
      <c r="E2478" s="701" t="s">
        <v>10352</v>
      </c>
      <c r="F2478" s="551">
        <v>1</v>
      </c>
      <c r="G2478" s="657">
        <v>0</v>
      </c>
      <c r="H2478" s="657">
        <v>0</v>
      </c>
      <c r="I2478" s="657">
        <v>0</v>
      </c>
      <c r="J2478" s="657">
        <v>33152.007036861993</v>
      </c>
      <c r="K2478" s="654" t="s">
        <v>5054</v>
      </c>
      <c r="M2478" s="540"/>
      <c r="O2478" s="540"/>
    </row>
    <row r="2479" spans="1:15">
      <c r="A2479" s="565">
        <v>3173</v>
      </c>
      <c r="B2479" s="694" t="s">
        <v>7884</v>
      </c>
      <c r="C2479" s="566">
        <f t="shared" si="38"/>
        <v>3173</v>
      </c>
      <c r="D2479" s="698" t="s">
        <v>2249</v>
      </c>
      <c r="E2479" s="701" t="s">
        <v>10353</v>
      </c>
      <c r="F2479" s="551">
        <v>1</v>
      </c>
      <c r="G2479" s="657">
        <v>0</v>
      </c>
      <c r="H2479" s="657">
        <v>0</v>
      </c>
      <c r="I2479" s="657">
        <v>34594.402594712243</v>
      </c>
      <c r="J2479" s="657">
        <v>35661.29322085192</v>
      </c>
      <c r="K2479" s="654" t="s">
        <v>4272</v>
      </c>
      <c r="M2479" s="540"/>
      <c r="O2479" s="540"/>
    </row>
    <row r="2480" spans="1:15">
      <c r="A2480" s="565">
        <v>3174</v>
      </c>
      <c r="B2480" s="694" t="s">
        <v>7885</v>
      </c>
      <c r="C2480" s="566">
        <f t="shared" si="38"/>
        <v>3174</v>
      </c>
      <c r="D2480" s="698" t="s">
        <v>2249</v>
      </c>
      <c r="E2480" s="701" t="s">
        <v>10354</v>
      </c>
      <c r="F2480" s="551">
        <v>1</v>
      </c>
      <c r="G2480" s="657">
        <v>0</v>
      </c>
      <c r="H2480" s="657">
        <v>0</v>
      </c>
      <c r="I2480" s="657">
        <v>0</v>
      </c>
      <c r="J2480" s="657">
        <v>36877.752020239015</v>
      </c>
      <c r="K2480" s="654" t="s">
        <v>5055</v>
      </c>
      <c r="M2480" s="540"/>
      <c r="O2480" s="540"/>
    </row>
    <row r="2481" spans="1:15">
      <c r="A2481" s="565">
        <v>3175</v>
      </c>
      <c r="B2481" s="694" t="s">
        <v>7886</v>
      </c>
      <c r="C2481" s="566">
        <f t="shared" si="38"/>
        <v>3175</v>
      </c>
      <c r="D2481" s="698" t="s">
        <v>2249</v>
      </c>
      <c r="E2481" s="701" t="s">
        <v>10355</v>
      </c>
      <c r="F2481" s="551">
        <v>1</v>
      </c>
      <c r="G2481" s="657">
        <v>0</v>
      </c>
      <c r="H2481" s="657">
        <v>31028.332396337089</v>
      </c>
      <c r="I2481" s="657">
        <v>31977.450586648589</v>
      </c>
      <c r="J2481" s="657">
        <v>32976.512601353519</v>
      </c>
      <c r="K2481" s="654" t="s">
        <v>4273</v>
      </c>
      <c r="M2481" s="540"/>
      <c r="O2481" s="540"/>
    </row>
    <row r="2482" spans="1:15">
      <c r="A2482" s="565">
        <v>3176</v>
      </c>
      <c r="B2482" s="694" t="s">
        <v>7887</v>
      </c>
      <c r="C2482" s="566">
        <f t="shared" si="38"/>
        <v>3176</v>
      </c>
      <c r="D2482" s="698" t="s">
        <v>2249</v>
      </c>
      <c r="E2482" s="701" t="s">
        <v>10356</v>
      </c>
      <c r="F2482" s="551">
        <v>1</v>
      </c>
      <c r="G2482" s="657">
        <v>0</v>
      </c>
      <c r="H2482" s="657">
        <v>0</v>
      </c>
      <c r="I2482" s="657">
        <v>0</v>
      </c>
      <c r="J2482" s="657">
        <v>34748.754886880721</v>
      </c>
      <c r="K2482" s="654" t="s">
        <v>5056</v>
      </c>
      <c r="M2482" s="540"/>
      <c r="O2482" s="540"/>
    </row>
    <row r="2483" spans="1:15">
      <c r="A2483" s="565">
        <v>3177</v>
      </c>
      <c r="B2483" s="694" t="s">
        <v>7888</v>
      </c>
      <c r="C2483" s="566">
        <f t="shared" si="38"/>
        <v>3177</v>
      </c>
      <c r="D2483" s="698" t="s">
        <v>2249</v>
      </c>
      <c r="E2483" s="701" t="s">
        <v>10357</v>
      </c>
      <c r="F2483" s="551">
        <v>1</v>
      </c>
      <c r="G2483" s="657">
        <v>34327.745703759116</v>
      </c>
      <c r="H2483" s="657">
        <v>35385.805252480044</v>
      </c>
      <c r="I2483" s="657">
        <v>0</v>
      </c>
      <c r="J2483" s="657">
        <v>0</v>
      </c>
      <c r="K2483" s="654" t="s">
        <v>2190</v>
      </c>
      <c r="M2483" s="540"/>
      <c r="O2483" s="540"/>
    </row>
    <row r="2484" spans="1:15">
      <c r="A2484" s="565">
        <v>3178</v>
      </c>
      <c r="B2484" s="694" t="s">
        <v>7889</v>
      </c>
      <c r="C2484" s="566">
        <f t="shared" si="38"/>
        <v>3178</v>
      </c>
      <c r="D2484" s="698" t="s">
        <v>2249</v>
      </c>
      <c r="E2484" s="701" t="s">
        <v>10358</v>
      </c>
      <c r="F2484" s="551">
        <v>1</v>
      </c>
      <c r="G2484" s="657">
        <v>34796.657322381281</v>
      </c>
      <c r="H2484" s="657">
        <v>35870.189809268661</v>
      </c>
      <c r="I2484" s="657">
        <v>0</v>
      </c>
      <c r="J2484" s="657">
        <v>0</v>
      </c>
      <c r="K2484" s="654" t="s">
        <v>2191</v>
      </c>
      <c r="M2484" s="540"/>
      <c r="O2484" s="540"/>
    </row>
    <row r="2485" spans="1:15">
      <c r="A2485" s="565">
        <v>3179</v>
      </c>
      <c r="B2485" s="694" t="s">
        <v>7890</v>
      </c>
      <c r="C2485" s="566">
        <f t="shared" si="38"/>
        <v>3179</v>
      </c>
      <c r="D2485" s="698" t="s">
        <v>2249</v>
      </c>
      <c r="E2485" s="701" t="s">
        <v>10359</v>
      </c>
      <c r="F2485" s="551">
        <v>1</v>
      </c>
      <c r="G2485" s="657">
        <v>38655.464626593202</v>
      </c>
      <c r="H2485" s="657">
        <v>0</v>
      </c>
      <c r="I2485" s="657">
        <v>0</v>
      </c>
      <c r="J2485" s="657">
        <v>0</v>
      </c>
      <c r="K2485" s="654" t="s">
        <v>5412</v>
      </c>
      <c r="M2485" s="540"/>
      <c r="O2485" s="540"/>
    </row>
    <row r="2486" spans="1:15">
      <c r="A2486" s="565">
        <v>3180</v>
      </c>
      <c r="B2486" s="694" t="s">
        <v>7891</v>
      </c>
      <c r="C2486" s="566">
        <f t="shared" si="38"/>
        <v>3180</v>
      </c>
      <c r="D2486" s="698" t="s">
        <v>2249</v>
      </c>
      <c r="E2486" s="701" t="s">
        <v>10360</v>
      </c>
      <c r="F2486" s="551">
        <v>1</v>
      </c>
      <c r="G2486" s="657">
        <v>38628.852162426236</v>
      </c>
      <c r="H2486" s="657">
        <v>0</v>
      </c>
      <c r="I2486" s="657">
        <v>0</v>
      </c>
      <c r="J2486" s="657">
        <v>0</v>
      </c>
      <c r="K2486" s="654" t="s">
        <v>5413</v>
      </c>
      <c r="M2486" s="540"/>
      <c r="O2486" s="540"/>
    </row>
    <row r="2487" spans="1:15">
      <c r="A2487" s="565">
        <v>3181</v>
      </c>
      <c r="B2487" s="694" t="s">
        <v>7892</v>
      </c>
      <c r="C2487" s="566">
        <f t="shared" si="38"/>
        <v>3181</v>
      </c>
      <c r="D2487" s="698" t="s">
        <v>2249</v>
      </c>
      <c r="E2487" s="701" t="s">
        <v>10361</v>
      </c>
      <c r="F2487" s="551">
        <v>1</v>
      </c>
      <c r="G2487" s="657">
        <v>39485.77350860295</v>
      </c>
      <c r="H2487" s="657">
        <v>0</v>
      </c>
      <c r="I2487" s="657">
        <v>0</v>
      </c>
      <c r="J2487" s="657">
        <v>0</v>
      </c>
      <c r="K2487" s="654" t="s">
        <v>5414</v>
      </c>
      <c r="M2487" s="540"/>
      <c r="O2487" s="540"/>
    </row>
    <row r="2488" spans="1:15">
      <c r="A2488" s="565">
        <v>3182</v>
      </c>
      <c r="B2488" s="694" t="s">
        <v>7893</v>
      </c>
      <c r="C2488" s="566">
        <f t="shared" si="38"/>
        <v>3182</v>
      </c>
      <c r="D2488" s="698" t="s">
        <v>2249</v>
      </c>
      <c r="E2488" s="701" t="s">
        <v>10362</v>
      </c>
      <c r="F2488" s="551">
        <v>1</v>
      </c>
      <c r="G2488" s="657">
        <v>41322.675706195754</v>
      </c>
      <c r="H2488" s="657">
        <v>42732.494136974354</v>
      </c>
      <c r="I2488" s="657">
        <v>44068.101833141627</v>
      </c>
      <c r="J2488" s="657">
        <v>45474.024200353131</v>
      </c>
      <c r="K2488" s="654" t="s">
        <v>2192</v>
      </c>
      <c r="M2488" s="540"/>
      <c r="O2488" s="540"/>
    </row>
    <row r="2489" spans="1:15">
      <c r="A2489" s="565">
        <v>3183</v>
      </c>
      <c r="B2489" s="694" t="s">
        <v>7894</v>
      </c>
      <c r="C2489" s="566">
        <f t="shared" si="38"/>
        <v>3183</v>
      </c>
      <c r="D2489" s="698" t="s">
        <v>2249</v>
      </c>
      <c r="E2489" s="701" t="s">
        <v>10363</v>
      </c>
      <c r="F2489" s="551">
        <v>1</v>
      </c>
      <c r="G2489" s="657">
        <v>39341.788493135486</v>
      </c>
      <c r="H2489" s="657">
        <v>40515.616787850078</v>
      </c>
      <c r="I2489" s="657">
        <v>41751.225519128595</v>
      </c>
      <c r="J2489" s="657">
        <v>43051.879959293939</v>
      </c>
      <c r="K2489" s="654" t="s">
        <v>4274</v>
      </c>
      <c r="M2489" s="540"/>
      <c r="O2489" s="540"/>
    </row>
    <row r="2490" spans="1:15">
      <c r="A2490" s="565">
        <v>3184</v>
      </c>
      <c r="B2490" s="694" t="s">
        <v>7895</v>
      </c>
      <c r="C2490" s="566">
        <f t="shared" si="38"/>
        <v>3184</v>
      </c>
      <c r="D2490" s="698" t="s">
        <v>2249</v>
      </c>
      <c r="E2490" s="701" t="s">
        <v>10364</v>
      </c>
      <c r="F2490" s="551">
        <v>1</v>
      </c>
      <c r="G2490" s="657">
        <v>42969.944826922409</v>
      </c>
      <c r="H2490" s="657">
        <v>44282.064825585199</v>
      </c>
      <c r="I2490" s="657">
        <v>45663.237912803837</v>
      </c>
      <c r="J2490" s="657">
        <v>47117.137519941556</v>
      </c>
      <c r="K2490" s="654" t="s">
        <v>1584</v>
      </c>
      <c r="M2490" s="540"/>
      <c r="O2490" s="540"/>
    </row>
    <row r="2491" spans="1:15">
      <c r="A2491" s="565"/>
      <c r="C2491" s="566"/>
      <c r="M2491" s="540"/>
      <c r="O2491" s="540"/>
    </row>
    <row r="2492" spans="1:15">
      <c r="A2492" s="565"/>
      <c r="C2492" s="566"/>
      <c r="M2492" s="540"/>
      <c r="O2492" s="540"/>
    </row>
    <row r="2493" spans="1:15">
      <c r="A2493" s="565"/>
      <c r="C2493" s="566"/>
      <c r="M2493" s="540"/>
      <c r="O2493" s="540"/>
    </row>
    <row r="2494" spans="1:15">
      <c r="A2494" s="565"/>
      <c r="C2494" s="566"/>
      <c r="M2494" s="540"/>
      <c r="O2494" s="540"/>
    </row>
    <row r="2495" spans="1:15">
      <c r="A2495" s="565"/>
      <c r="C2495" s="566"/>
      <c r="M2495" s="540"/>
      <c r="O2495" s="540"/>
    </row>
    <row r="2496" spans="1:15">
      <c r="A2496" s="565"/>
      <c r="C2496" s="566"/>
      <c r="M2496" s="540"/>
      <c r="O2496" s="540"/>
    </row>
    <row r="2497" spans="1:15">
      <c r="A2497" s="565"/>
      <c r="C2497" s="566"/>
      <c r="M2497" s="540"/>
      <c r="O2497" s="540"/>
    </row>
    <row r="2498" spans="1:15">
      <c r="A2498" s="565"/>
      <c r="C2498" s="566"/>
      <c r="M2498" s="540"/>
      <c r="O2498" s="540"/>
    </row>
    <row r="2499" spans="1:15">
      <c r="A2499" s="565"/>
      <c r="C2499" s="566"/>
      <c r="M2499" s="540"/>
      <c r="O2499" s="540"/>
    </row>
    <row r="2500" spans="1:15">
      <c r="A2500" s="565"/>
      <c r="C2500" s="566"/>
      <c r="M2500" s="540"/>
      <c r="O2500" s="540"/>
    </row>
    <row r="2501" spans="1:15">
      <c r="A2501" s="565"/>
      <c r="C2501" s="566"/>
      <c r="M2501" s="540"/>
      <c r="O2501" s="540"/>
    </row>
    <row r="2502" spans="1:15">
      <c r="A2502" s="565"/>
      <c r="C2502" s="566"/>
      <c r="M2502" s="540"/>
      <c r="O2502" s="540"/>
    </row>
    <row r="2503" spans="1:15">
      <c r="A2503" s="565"/>
      <c r="C2503" s="566"/>
      <c r="M2503" s="540"/>
      <c r="O2503" s="540"/>
    </row>
    <row r="2504" spans="1:15">
      <c r="A2504" s="565"/>
      <c r="C2504" s="566"/>
      <c r="M2504" s="540"/>
      <c r="O2504" s="540"/>
    </row>
    <row r="2505" spans="1:15">
      <c r="A2505" s="565"/>
      <c r="C2505" s="566"/>
      <c r="M2505" s="540"/>
      <c r="O2505" s="540"/>
    </row>
    <row r="2506" spans="1:15">
      <c r="A2506" s="565"/>
      <c r="C2506" s="566"/>
      <c r="M2506" s="540"/>
      <c r="O2506" s="540"/>
    </row>
    <row r="2507" spans="1:15">
      <c r="A2507" s="565"/>
      <c r="C2507" s="566"/>
      <c r="M2507" s="540"/>
      <c r="O2507" s="540"/>
    </row>
    <row r="2508" spans="1:15">
      <c r="A2508" s="565"/>
      <c r="C2508" s="566"/>
      <c r="M2508" s="540"/>
      <c r="O2508" s="540"/>
    </row>
    <row r="2509" spans="1:15">
      <c r="A2509" s="565"/>
      <c r="C2509" s="566"/>
      <c r="M2509" s="540"/>
      <c r="O2509" s="540"/>
    </row>
    <row r="2510" spans="1:15">
      <c r="A2510" s="565"/>
      <c r="C2510" s="566"/>
      <c r="M2510" s="540"/>
      <c r="O2510" s="540"/>
    </row>
    <row r="2511" spans="1:15">
      <c r="A2511" s="565"/>
      <c r="C2511" s="566"/>
      <c r="M2511" s="540"/>
      <c r="O2511" s="540"/>
    </row>
    <row r="2512" spans="1:15">
      <c r="A2512" s="565"/>
      <c r="C2512" s="566"/>
      <c r="M2512" s="540"/>
      <c r="O2512" s="540"/>
    </row>
    <row r="2513" spans="1:15">
      <c r="A2513" s="565"/>
      <c r="C2513" s="566"/>
      <c r="M2513" s="540"/>
      <c r="O2513" s="540"/>
    </row>
    <row r="2514" spans="1:15">
      <c r="A2514" s="565"/>
      <c r="C2514" s="566"/>
      <c r="M2514" s="540"/>
      <c r="O2514" s="540"/>
    </row>
    <row r="2515" spans="1:15">
      <c r="A2515" s="565"/>
      <c r="C2515" s="566"/>
      <c r="M2515" s="540"/>
      <c r="O2515" s="540"/>
    </row>
    <row r="2516" spans="1:15">
      <c r="A2516" s="565"/>
      <c r="C2516" s="566"/>
      <c r="M2516" s="540"/>
      <c r="O2516" s="540"/>
    </row>
    <row r="2517" spans="1:15">
      <c r="A2517" s="565"/>
      <c r="C2517" s="566"/>
      <c r="M2517" s="540"/>
      <c r="O2517" s="540"/>
    </row>
    <row r="2518" spans="1:15">
      <c r="A2518" s="565"/>
      <c r="C2518" s="566"/>
      <c r="M2518" s="540"/>
      <c r="O2518" s="540"/>
    </row>
    <row r="2519" spans="1:15">
      <c r="A2519" s="565"/>
      <c r="C2519" s="566"/>
      <c r="M2519" s="540"/>
      <c r="O2519" s="540"/>
    </row>
    <row r="2520" spans="1:15">
      <c r="A2520" s="565"/>
      <c r="C2520" s="566"/>
      <c r="M2520" s="540"/>
      <c r="O2520" s="540"/>
    </row>
    <row r="2521" spans="1:15">
      <c r="A2521" s="565"/>
      <c r="C2521" s="566"/>
      <c r="M2521" s="540"/>
      <c r="O2521" s="540"/>
    </row>
    <row r="2522" spans="1:15">
      <c r="A2522" s="565"/>
      <c r="C2522" s="566"/>
      <c r="M2522" s="540"/>
      <c r="O2522" s="540"/>
    </row>
    <row r="2523" spans="1:15">
      <c r="A2523" s="565"/>
      <c r="C2523" s="566"/>
      <c r="M2523" s="540"/>
      <c r="O2523" s="540"/>
    </row>
    <row r="2524" spans="1:15">
      <c r="A2524" s="565"/>
      <c r="C2524" s="566"/>
      <c r="M2524" s="540"/>
      <c r="O2524" s="540"/>
    </row>
    <row r="2525" spans="1:15">
      <c r="A2525" s="565"/>
      <c r="C2525" s="566"/>
      <c r="M2525" s="540"/>
      <c r="O2525" s="540"/>
    </row>
    <row r="2526" spans="1:15">
      <c r="A2526" s="565"/>
      <c r="C2526" s="566"/>
      <c r="M2526" s="540"/>
      <c r="O2526" s="540"/>
    </row>
    <row r="2527" spans="1:15">
      <c r="A2527" s="565"/>
      <c r="C2527" s="566"/>
      <c r="M2527" s="540"/>
      <c r="O2527" s="540"/>
    </row>
    <row r="2528" spans="1:15">
      <c r="A2528" s="565"/>
      <c r="C2528" s="566"/>
      <c r="M2528" s="540"/>
      <c r="O2528" s="540"/>
    </row>
    <row r="2529" spans="1:15">
      <c r="A2529" s="565"/>
      <c r="C2529" s="566"/>
      <c r="M2529" s="540"/>
      <c r="O2529" s="540"/>
    </row>
    <row r="2530" spans="1:15">
      <c r="A2530" s="565"/>
      <c r="C2530" s="566"/>
      <c r="M2530" s="540"/>
      <c r="O2530" s="540"/>
    </row>
    <row r="2531" spans="1:15">
      <c r="A2531" s="565"/>
      <c r="C2531" s="566"/>
      <c r="M2531" s="540"/>
      <c r="O2531" s="540"/>
    </row>
    <row r="2532" spans="1:15">
      <c r="A2532" s="565"/>
      <c r="C2532" s="566"/>
      <c r="M2532" s="540"/>
      <c r="O2532" s="540"/>
    </row>
    <row r="2533" spans="1:15">
      <c r="A2533" s="565"/>
      <c r="C2533" s="566"/>
      <c r="M2533" s="540"/>
      <c r="O2533" s="540"/>
    </row>
    <row r="2534" spans="1:15">
      <c r="A2534" s="565"/>
      <c r="C2534" s="566"/>
      <c r="M2534" s="540"/>
      <c r="O2534" s="540"/>
    </row>
    <row r="2535" spans="1:15">
      <c r="A2535" s="565"/>
      <c r="C2535" s="566"/>
      <c r="M2535" s="540"/>
      <c r="O2535" s="540"/>
    </row>
    <row r="2536" spans="1:15">
      <c r="A2536" s="565"/>
      <c r="C2536" s="566"/>
      <c r="M2536" s="540"/>
      <c r="O2536" s="540"/>
    </row>
    <row r="2537" spans="1:15">
      <c r="A2537" s="565"/>
      <c r="C2537" s="566"/>
      <c r="M2537" s="540"/>
      <c r="O2537" s="540"/>
    </row>
    <row r="2538" spans="1:15">
      <c r="A2538" s="565"/>
      <c r="C2538" s="566"/>
      <c r="M2538" s="540"/>
      <c r="O2538" s="540"/>
    </row>
    <row r="2539" spans="1:15">
      <c r="A2539" s="565"/>
      <c r="C2539" s="566"/>
      <c r="M2539" s="540"/>
      <c r="O2539" s="540"/>
    </row>
    <row r="2540" spans="1:15">
      <c r="A2540" s="565"/>
      <c r="C2540" s="566"/>
      <c r="M2540" s="540"/>
      <c r="O2540" s="540"/>
    </row>
    <row r="2541" spans="1:15">
      <c r="A2541" s="565"/>
      <c r="C2541" s="566"/>
      <c r="M2541" s="540"/>
      <c r="O2541" s="540"/>
    </row>
    <row r="2542" spans="1:15">
      <c r="A2542" s="565"/>
      <c r="C2542" s="566"/>
      <c r="M2542" s="540"/>
      <c r="O2542" s="540"/>
    </row>
    <row r="2543" spans="1:15">
      <c r="A2543" s="565"/>
      <c r="C2543" s="566"/>
      <c r="M2543" s="540"/>
      <c r="O2543" s="540"/>
    </row>
    <row r="2544" spans="1:15">
      <c r="A2544" s="565"/>
      <c r="C2544" s="566"/>
      <c r="M2544" s="540"/>
      <c r="O2544" s="540"/>
    </row>
    <row r="2545" spans="1:15">
      <c r="A2545" s="565"/>
      <c r="C2545" s="566"/>
      <c r="M2545" s="540"/>
      <c r="O2545" s="540"/>
    </row>
    <row r="2546" spans="1:15">
      <c r="A2546" s="565"/>
      <c r="C2546" s="566"/>
      <c r="M2546" s="540"/>
      <c r="O2546" s="540"/>
    </row>
    <row r="2547" spans="1:15">
      <c r="A2547" s="565"/>
      <c r="C2547" s="566"/>
      <c r="M2547" s="540"/>
      <c r="O2547" s="540"/>
    </row>
    <row r="2548" spans="1:15">
      <c r="A2548" s="565"/>
      <c r="C2548" s="566"/>
      <c r="M2548" s="540"/>
      <c r="O2548" s="540"/>
    </row>
    <row r="2549" spans="1:15">
      <c r="A2549" s="565"/>
      <c r="C2549" s="566"/>
      <c r="M2549" s="540"/>
      <c r="O2549" s="540"/>
    </row>
    <row r="2550" spans="1:15">
      <c r="A2550" s="565"/>
      <c r="C2550" s="566"/>
      <c r="M2550" s="540"/>
      <c r="O2550" s="540"/>
    </row>
    <row r="2551" spans="1:15">
      <c r="A2551" s="565"/>
      <c r="C2551" s="566"/>
      <c r="M2551" s="540"/>
      <c r="O2551" s="540"/>
    </row>
    <row r="2552" spans="1:15">
      <c r="A2552" s="565"/>
      <c r="C2552" s="566"/>
      <c r="M2552" s="540"/>
      <c r="O2552" s="540"/>
    </row>
    <row r="2553" spans="1:15">
      <c r="A2553" s="565"/>
      <c r="C2553" s="566"/>
      <c r="M2553" s="540"/>
      <c r="O2553" s="540"/>
    </row>
    <row r="2554" spans="1:15">
      <c r="A2554" s="565"/>
      <c r="C2554" s="566"/>
      <c r="M2554" s="540"/>
      <c r="O2554" s="540"/>
    </row>
    <row r="2555" spans="1:15">
      <c r="A2555" s="565"/>
      <c r="C2555" s="566"/>
      <c r="M2555" s="540"/>
      <c r="O2555" s="540"/>
    </row>
    <row r="2556" spans="1:15">
      <c r="A2556" s="565"/>
      <c r="C2556" s="566"/>
      <c r="M2556" s="540"/>
      <c r="O2556" s="540"/>
    </row>
    <row r="2557" spans="1:15">
      <c r="A2557" s="565"/>
      <c r="C2557" s="566"/>
      <c r="M2557" s="540"/>
      <c r="O2557" s="540"/>
    </row>
    <row r="2558" spans="1:15">
      <c r="A2558" s="565"/>
      <c r="C2558" s="566"/>
      <c r="M2558" s="540"/>
      <c r="O2558" s="540"/>
    </row>
    <row r="2559" spans="1:15">
      <c r="A2559" s="565"/>
      <c r="C2559" s="566"/>
      <c r="M2559" s="540"/>
      <c r="O2559" s="540"/>
    </row>
    <row r="2560" spans="1:15">
      <c r="A2560" s="565"/>
      <c r="C2560" s="566"/>
      <c r="M2560" s="540"/>
      <c r="O2560" s="540"/>
    </row>
    <row r="2561" spans="1:15">
      <c r="A2561" s="565"/>
      <c r="C2561" s="566"/>
      <c r="M2561" s="540"/>
      <c r="O2561" s="540"/>
    </row>
    <row r="2562" spans="1:15">
      <c r="A2562" s="565"/>
      <c r="C2562" s="566"/>
      <c r="M2562" s="540"/>
      <c r="O2562" s="540"/>
    </row>
    <row r="2563" spans="1:15">
      <c r="A2563" s="565"/>
      <c r="C2563" s="566"/>
      <c r="M2563" s="540"/>
      <c r="O2563" s="540"/>
    </row>
    <row r="2564" spans="1:15">
      <c r="A2564" s="565"/>
      <c r="C2564" s="566"/>
      <c r="M2564" s="540"/>
      <c r="O2564" s="540"/>
    </row>
    <row r="2565" spans="1:15">
      <c r="A2565" s="565"/>
      <c r="C2565" s="566"/>
      <c r="M2565" s="540"/>
      <c r="O2565" s="540"/>
    </row>
    <row r="2566" spans="1:15">
      <c r="A2566" s="565"/>
      <c r="C2566" s="566"/>
      <c r="M2566" s="540"/>
      <c r="O2566" s="540"/>
    </row>
    <row r="2567" spans="1:15">
      <c r="A2567" s="565"/>
      <c r="C2567" s="566"/>
      <c r="M2567" s="540"/>
      <c r="O2567" s="540"/>
    </row>
    <row r="2568" spans="1:15">
      <c r="A2568" s="565"/>
      <c r="C2568" s="566"/>
      <c r="M2568" s="540"/>
      <c r="O2568" s="540"/>
    </row>
    <row r="2569" spans="1:15">
      <c r="A2569" s="565"/>
      <c r="C2569" s="566"/>
      <c r="M2569" s="540"/>
      <c r="O2569" s="540"/>
    </row>
    <row r="2570" spans="1:15">
      <c r="A2570" s="565"/>
      <c r="C2570" s="566"/>
      <c r="M2570" s="540"/>
      <c r="O2570" s="540"/>
    </row>
    <row r="2571" spans="1:15">
      <c r="A2571" s="565"/>
      <c r="C2571" s="566"/>
      <c r="M2571" s="540"/>
      <c r="O2571" s="540"/>
    </row>
    <row r="2572" spans="1:15">
      <c r="A2572" s="565"/>
      <c r="C2572" s="566"/>
      <c r="M2572" s="540"/>
      <c r="O2572" s="540"/>
    </row>
    <row r="2573" spans="1:15">
      <c r="A2573" s="565"/>
      <c r="C2573" s="566"/>
      <c r="M2573" s="540"/>
      <c r="O2573" s="540"/>
    </row>
    <row r="2574" spans="1:15">
      <c r="A2574" s="565"/>
      <c r="C2574" s="566"/>
      <c r="M2574" s="540"/>
      <c r="O2574" s="540"/>
    </row>
    <row r="2575" spans="1:15">
      <c r="A2575" s="565"/>
      <c r="C2575" s="566"/>
      <c r="M2575" s="540"/>
      <c r="O2575" s="540"/>
    </row>
    <row r="2576" spans="1:15">
      <c r="A2576" s="565"/>
      <c r="C2576" s="566"/>
      <c r="M2576" s="540"/>
      <c r="O2576" s="540"/>
    </row>
    <row r="2577" spans="1:15">
      <c r="A2577" s="565"/>
      <c r="C2577" s="566"/>
      <c r="M2577" s="540"/>
      <c r="O2577" s="540"/>
    </row>
    <row r="2578" spans="1:15">
      <c r="A2578" s="565"/>
      <c r="C2578" s="566"/>
      <c r="M2578" s="540"/>
      <c r="O2578" s="540"/>
    </row>
    <row r="2579" spans="1:15">
      <c r="A2579" s="565"/>
      <c r="C2579" s="566"/>
      <c r="M2579" s="540"/>
      <c r="O2579" s="540"/>
    </row>
    <row r="2580" spans="1:15">
      <c r="A2580" s="565"/>
      <c r="C2580" s="566"/>
      <c r="M2580" s="540"/>
      <c r="O2580" s="540"/>
    </row>
    <row r="2581" spans="1:15">
      <c r="A2581" s="565"/>
      <c r="C2581" s="566"/>
      <c r="M2581" s="540"/>
      <c r="O2581" s="540"/>
    </row>
    <row r="2582" spans="1:15">
      <c r="A2582" s="565"/>
      <c r="C2582" s="566"/>
      <c r="M2582" s="540"/>
      <c r="O2582" s="540"/>
    </row>
    <row r="2583" spans="1:15">
      <c r="A2583" s="565"/>
      <c r="C2583" s="566"/>
      <c r="M2583" s="540"/>
      <c r="O2583" s="540"/>
    </row>
    <row r="2584" spans="1:15">
      <c r="A2584" s="565"/>
      <c r="C2584" s="566"/>
      <c r="M2584" s="540"/>
      <c r="O2584" s="540"/>
    </row>
    <row r="2585" spans="1:15">
      <c r="A2585" s="565"/>
      <c r="C2585" s="566"/>
      <c r="M2585" s="540"/>
      <c r="O2585" s="540"/>
    </row>
    <row r="2586" spans="1:15">
      <c r="A2586" s="565"/>
      <c r="C2586" s="566"/>
      <c r="M2586" s="540"/>
      <c r="O2586" s="540"/>
    </row>
    <row r="2587" spans="1:15">
      <c r="A2587" s="565"/>
      <c r="C2587" s="566"/>
      <c r="M2587" s="540"/>
      <c r="O2587" s="540"/>
    </row>
    <row r="2588" spans="1:15">
      <c r="A2588" s="565"/>
      <c r="C2588" s="566"/>
      <c r="M2588" s="540"/>
      <c r="O2588" s="540"/>
    </row>
    <row r="2589" spans="1:15">
      <c r="A2589" s="565"/>
      <c r="C2589" s="566"/>
      <c r="M2589" s="540"/>
      <c r="O2589" s="540"/>
    </row>
    <row r="2590" spans="1:15">
      <c r="A2590" s="565"/>
      <c r="C2590" s="566"/>
      <c r="M2590" s="540"/>
      <c r="O2590" s="540"/>
    </row>
    <row r="2591" spans="1:15">
      <c r="A2591" s="565"/>
      <c r="C2591" s="566"/>
      <c r="M2591" s="540"/>
      <c r="O2591" s="540"/>
    </row>
    <row r="2592" spans="1:15">
      <c r="A2592" s="565"/>
      <c r="C2592" s="566"/>
      <c r="M2592" s="540"/>
      <c r="O2592" s="540"/>
    </row>
    <row r="2593" spans="1:15">
      <c r="A2593" s="565"/>
      <c r="C2593" s="566"/>
      <c r="M2593" s="540"/>
      <c r="O2593" s="540"/>
    </row>
    <row r="2594" spans="1:15">
      <c r="A2594" s="565"/>
      <c r="C2594" s="566"/>
      <c r="M2594" s="540"/>
      <c r="O2594" s="540"/>
    </row>
    <row r="2595" spans="1:15">
      <c r="A2595" s="565"/>
      <c r="C2595" s="566"/>
      <c r="M2595" s="540"/>
      <c r="O2595" s="540"/>
    </row>
    <row r="2596" spans="1:15">
      <c r="A2596" s="565"/>
      <c r="C2596" s="566"/>
      <c r="M2596" s="540"/>
      <c r="O2596" s="540"/>
    </row>
    <row r="2597" spans="1:15">
      <c r="A2597" s="565"/>
      <c r="C2597" s="566"/>
      <c r="M2597" s="540"/>
      <c r="O2597" s="540"/>
    </row>
    <row r="2598" spans="1:15">
      <c r="A2598" s="565"/>
      <c r="C2598" s="566"/>
      <c r="M2598" s="540"/>
      <c r="O2598" s="540"/>
    </row>
    <row r="2599" spans="1:15">
      <c r="A2599" s="565"/>
      <c r="C2599" s="566"/>
      <c r="M2599" s="540"/>
      <c r="O2599" s="540"/>
    </row>
    <row r="2600" spans="1:15">
      <c r="A2600" s="565"/>
      <c r="C2600" s="566"/>
      <c r="M2600" s="540"/>
      <c r="O2600" s="540"/>
    </row>
    <row r="2601" spans="1:15">
      <c r="A2601" s="565"/>
      <c r="C2601" s="566"/>
      <c r="M2601" s="540"/>
      <c r="O2601" s="540"/>
    </row>
    <row r="2602" spans="1:15">
      <c r="A2602" s="565"/>
      <c r="C2602" s="566"/>
      <c r="M2602" s="540"/>
      <c r="O2602" s="540"/>
    </row>
    <row r="2603" spans="1:15">
      <c r="A2603" s="565"/>
      <c r="C2603" s="566"/>
      <c r="M2603" s="540"/>
      <c r="O2603" s="540"/>
    </row>
    <row r="2604" spans="1:15">
      <c r="A2604" s="565"/>
      <c r="C2604" s="566"/>
      <c r="M2604" s="540"/>
      <c r="O2604" s="540"/>
    </row>
    <row r="2605" spans="1:15">
      <c r="A2605" s="565"/>
      <c r="C2605" s="566"/>
      <c r="M2605" s="540"/>
      <c r="O2605" s="540"/>
    </row>
    <row r="2606" spans="1:15">
      <c r="A2606" s="565"/>
      <c r="C2606" s="566"/>
      <c r="M2606" s="540"/>
      <c r="O2606" s="540"/>
    </row>
    <row r="2607" spans="1:15">
      <c r="A2607" s="565"/>
      <c r="C2607" s="566"/>
      <c r="M2607" s="540"/>
      <c r="O2607" s="540"/>
    </row>
    <row r="2608" spans="1:15">
      <c r="A2608" s="565"/>
      <c r="C2608" s="566"/>
      <c r="M2608" s="540"/>
      <c r="O2608" s="540"/>
    </row>
    <row r="2609" spans="1:15">
      <c r="A2609" s="565"/>
      <c r="C2609" s="566"/>
      <c r="M2609" s="540"/>
      <c r="O2609" s="540"/>
    </row>
    <row r="2610" spans="1:15">
      <c r="A2610" s="565"/>
      <c r="C2610" s="566"/>
      <c r="M2610" s="540"/>
      <c r="O2610" s="540"/>
    </row>
    <row r="2611" spans="1:15">
      <c r="A2611" s="565"/>
      <c r="C2611" s="566"/>
      <c r="M2611" s="540"/>
      <c r="O2611" s="540"/>
    </row>
    <row r="2612" spans="1:15">
      <c r="A2612" s="565"/>
      <c r="C2612" s="566"/>
      <c r="M2612" s="540"/>
      <c r="O2612" s="540"/>
    </row>
    <row r="2613" spans="1:15">
      <c r="A2613" s="565"/>
      <c r="C2613" s="566"/>
      <c r="M2613" s="540"/>
      <c r="O2613" s="540"/>
    </row>
    <row r="2614" spans="1:15">
      <c r="A2614" s="565"/>
      <c r="C2614" s="566"/>
      <c r="M2614" s="540"/>
      <c r="O2614" s="540"/>
    </row>
    <row r="2615" spans="1:15">
      <c r="A2615" s="565"/>
      <c r="C2615" s="566"/>
      <c r="M2615" s="540"/>
      <c r="O2615" s="540"/>
    </row>
    <row r="2616" spans="1:15">
      <c r="A2616" s="565"/>
      <c r="C2616" s="566"/>
      <c r="M2616" s="540"/>
      <c r="O2616" s="540"/>
    </row>
    <row r="2617" spans="1:15">
      <c r="A2617" s="565"/>
      <c r="C2617" s="566"/>
      <c r="M2617" s="540"/>
      <c r="O2617" s="540"/>
    </row>
    <row r="2618" spans="1:15">
      <c r="A2618" s="565"/>
      <c r="C2618" s="566"/>
      <c r="M2618" s="540"/>
      <c r="O2618" s="540"/>
    </row>
    <row r="2619" spans="1:15">
      <c r="A2619" s="565"/>
      <c r="C2619" s="566"/>
      <c r="M2619" s="540"/>
      <c r="O2619" s="540"/>
    </row>
    <row r="2620" spans="1:15">
      <c r="A2620" s="565"/>
      <c r="C2620" s="566"/>
      <c r="M2620" s="540"/>
      <c r="O2620" s="540"/>
    </row>
    <row r="2621" spans="1:15">
      <c r="A2621" s="565"/>
      <c r="C2621" s="566"/>
      <c r="M2621" s="540"/>
      <c r="O2621" s="540"/>
    </row>
    <row r="2622" spans="1:15">
      <c r="A2622" s="565"/>
      <c r="C2622" s="566"/>
      <c r="M2622" s="540"/>
      <c r="O2622" s="540"/>
    </row>
    <row r="2623" spans="1:15">
      <c r="A2623" s="565"/>
      <c r="C2623" s="566"/>
      <c r="M2623" s="540"/>
      <c r="O2623" s="540"/>
    </row>
    <row r="2624" spans="1:15">
      <c r="A2624" s="565"/>
      <c r="C2624" s="566"/>
      <c r="M2624" s="540"/>
      <c r="O2624" s="540"/>
    </row>
    <row r="2625" spans="1:15">
      <c r="A2625" s="565"/>
      <c r="C2625" s="566"/>
      <c r="M2625" s="540"/>
      <c r="O2625" s="540"/>
    </row>
    <row r="2626" spans="1:15">
      <c r="A2626" s="565"/>
      <c r="C2626" s="566"/>
      <c r="M2626" s="540"/>
      <c r="O2626" s="540"/>
    </row>
    <row r="2627" spans="1:15">
      <c r="A2627" s="565"/>
      <c r="C2627" s="566"/>
      <c r="M2627" s="540"/>
      <c r="O2627" s="540"/>
    </row>
    <row r="2628" spans="1:15">
      <c r="A2628" s="565"/>
      <c r="C2628" s="566"/>
      <c r="M2628" s="540"/>
      <c r="O2628" s="540"/>
    </row>
    <row r="2629" spans="1:15">
      <c r="A2629" s="565"/>
      <c r="C2629" s="566"/>
      <c r="M2629" s="540"/>
      <c r="O2629" s="540"/>
    </row>
    <row r="2630" spans="1:15">
      <c r="A2630" s="565"/>
      <c r="C2630" s="566"/>
      <c r="M2630" s="540"/>
      <c r="O2630" s="540"/>
    </row>
    <row r="2631" spans="1:15">
      <c r="A2631" s="565"/>
      <c r="C2631" s="566"/>
      <c r="M2631" s="540"/>
      <c r="O2631" s="540"/>
    </row>
    <row r="2632" spans="1:15">
      <c r="A2632" s="565"/>
      <c r="C2632" s="566"/>
      <c r="M2632" s="540"/>
      <c r="O2632" s="540"/>
    </row>
    <row r="2633" spans="1:15">
      <c r="A2633" s="565"/>
      <c r="C2633" s="566"/>
      <c r="M2633" s="540"/>
      <c r="O2633" s="540"/>
    </row>
    <row r="2634" spans="1:15">
      <c r="A2634" s="565"/>
      <c r="C2634" s="566"/>
      <c r="M2634" s="540"/>
      <c r="O2634" s="540"/>
    </row>
    <row r="2635" spans="1:15">
      <c r="A2635" s="565"/>
      <c r="C2635" s="566"/>
      <c r="M2635" s="540"/>
      <c r="O2635" s="540"/>
    </row>
    <row r="2636" spans="1:15">
      <c r="A2636" s="565"/>
      <c r="C2636" s="566"/>
      <c r="M2636" s="540"/>
      <c r="O2636" s="540"/>
    </row>
    <row r="2637" spans="1:15">
      <c r="A2637" s="565"/>
      <c r="C2637" s="566"/>
      <c r="M2637" s="540"/>
      <c r="O2637" s="540"/>
    </row>
    <row r="2638" spans="1:15">
      <c r="A2638" s="565"/>
      <c r="C2638" s="566"/>
      <c r="M2638" s="540"/>
      <c r="O2638" s="540"/>
    </row>
    <row r="2639" spans="1:15">
      <c r="A2639" s="565"/>
      <c r="C2639" s="566"/>
      <c r="M2639" s="540"/>
      <c r="O2639" s="540"/>
    </row>
    <row r="2640" spans="1:15">
      <c r="A2640" s="565"/>
      <c r="C2640" s="566"/>
      <c r="M2640" s="540"/>
      <c r="O2640" s="540"/>
    </row>
    <row r="2641" spans="1:15">
      <c r="A2641" s="565"/>
      <c r="C2641" s="566"/>
      <c r="M2641" s="540"/>
      <c r="O2641" s="540"/>
    </row>
    <row r="2642" spans="1:15">
      <c r="A2642" s="565"/>
      <c r="C2642" s="566"/>
      <c r="M2642" s="540"/>
      <c r="O2642" s="540"/>
    </row>
    <row r="2643" spans="1:15">
      <c r="A2643" s="565"/>
      <c r="C2643" s="566"/>
      <c r="M2643" s="540"/>
      <c r="O2643" s="540"/>
    </row>
    <row r="2644" spans="1:15">
      <c r="A2644" s="565"/>
      <c r="C2644" s="566"/>
      <c r="M2644" s="540"/>
      <c r="O2644" s="540"/>
    </row>
    <row r="2645" spans="1:15">
      <c r="A2645" s="565"/>
      <c r="C2645" s="566"/>
      <c r="M2645" s="540"/>
      <c r="O2645" s="540"/>
    </row>
    <row r="2646" spans="1:15">
      <c r="A2646" s="565"/>
      <c r="C2646" s="566"/>
      <c r="M2646" s="540"/>
      <c r="O2646" s="540"/>
    </row>
    <row r="2647" spans="1:15">
      <c r="A2647" s="565"/>
      <c r="C2647" s="566"/>
      <c r="M2647" s="540"/>
      <c r="O2647" s="540"/>
    </row>
    <row r="2648" spans="1:15">
      <c r="A2648" s="565"/>
      <c r="C2648" s="566"/>
      <c r="M2648" s="540"/>
      <c r="O2648" s="540"/>
    </row>
    <row r="2649" spans="1:15">
      <c r="A2649" s="565"/>
      <c r="C2649" s="566"/>
      <c r="M2649" s="540"/>
      <c r="O2649" s="540"/>
    </row>
    <row r="2650" spans="1:15">
      <c r="A2650" s="565"/>
      <c r="C2650" s="566"/>
      <c r="M2650" s="540"/>
      <c r="O2650" s="540"/>
    </row>
    <row r="2651" spans="1:15">
      <c r="A2651" s="565"/>
      <c r="C2651" s="566"/>
      <c r="M2651" s="540"/>
      <c r="O2651" s="540"/>
    </row>
    <row r="2652" spans="1:15">
      <c r="A2652" s="565"/>
      <c r="C2652" s="566"/>
      <c r="M2652" s="540"/>
      <c r="O2652" s="540"/>
    </row>
    <row r="2653" spans="1:15">
      <c r="A2653" s="565"/>
      <c r="C2653" s="566"/>
      <c r="M2653" s="540"/>
      <c r="O2653" s="540"/>
    </row>
    <row r="2654" spans="1:15">
      <c r="A2654" s="565"/>
      <c r="C2654" s="566"/>
      <c r="M2654" s="540"/>
      <c r="O2654" s="540"/>
    </row>
    <row r="2655" spans="1:15">
      <c r="A2655" s="565"/>
      <c r="C2655" s="566"/>
      <c r="M2655" s="540"/>
      <c r="O2655" s="540"/>
    </row>
    <row r="2656" spans="1:15">
      <c r="A2656" s="565"/>
      <c r="C2656" s="566"/>
      <c r="M2656" s="540"/>
      <c r="O2656" s="540"/>
    </row>
    <row r="2657" spans="1:15">
      <c r="A2657" s="565"/>
      <c r="C2657" s="566"/>
      <c r="M2657" s="540"/>
      <c r="O2657" s="540"/>
    </row>
    <row r="2658" spans="1:15">
      <c r="A2658" s="565"/>
      <c r="C2658" s="566"/>
      <c r="M2658" s="540"/>
      <c r="O2658" s="540"/>
    </row>
    <row r="2659" spans="1:15">
      <c r="A2659" s="565"/>
      <c r="C2659" s="566"/>
      <c r="M2659" s="540"/>
      <c r="O2659" s="540"/>
    </row>
    <row r="2660" spans="1:15">
      <c r="A2660" s="565"/>
      <c r="C2660" s="566"/>
      <c r="M2660" s="540"/>
      <c r="O2660" s="540"/>
    </row>
    <row r="2661" spans="1:15">
      <c r="A2661" s="565"/>
      <c r="C2661" s="566"/>
      <c r="M2661" s="540"/>
      <c r="O2661" s="540"/>
    </row>
    <row r="2662" spans="1:15">
      <c r="A2662" s="565"/>
      <c r="C2662" s="566"/>
      <c r="M2662" s="540"/>
      <c r="O2662" s="540"/>
    </row>
    <row r="2663" spans="1:15">
      <c r="A2663" s="565"/>
      <c r="C2663" s="566"/>
      <c r="M2663" s="540"/>
      <c r="O2663" s="540"/>
    </row>
    <row r="2664" spans="1:15">
      <c r="A2664" s="565"/>
      <c r="C2664" s="566"/>
      <c r="M2664" s="540"/>
      <c r="O2664" s="540"/>
    </row>
    <row r="2665" spans="1:15">
      <c r="A2665" s="565"/>
      <c r="C2665" s="566"/>
      <c r="M2665" s="540"/>
      <c r="O2665" s="540"/>
    </row>
    <row r="2666" spans="1:15">
      <c r="A2666" s="565"/>
      <c r="C2666" s="566"/>
      <c r="M2666" s="540"/>
      <c r="O2666" s="540"/>
    </row>
    <row r="2667" spans="1:15">
      <c r="A2667" s="565"/>
      <c r="C2667" s="566"/>
      <c r="M2667" s="540"/>
      <c r="O2667" s="540"/>
    </row>
    <row r="2668" spans="1:15">
      <c r="A2668" s="565"/>
      <c r="C2668" s="566"/>
      <c r="M2668" s="540"/>
      <c r="O2668" s="540"/>
    </row>
    <row r="2669" spans="1:15">
      <c r="A2669" s="565"/>
      <c r="C2669" s="566"/>
      <c r="M2669" s="540"/>
      <c r="O2669" s="540"/>
    </row>
    <row r="2670" spans="1:15">
      <c r="A2670" s="565"/>
      <c r="C2670" s="566"/>
      <c r="M2670" s="540"/>
      <c r="O2670" s="540"/>
    </row>
    <row r="2671" spans="1:15">
      <c r="A2671" s="565"/>
      <c r="C2671" s="566"/>
      <c r="M2671" s="540"/>
      <c r="O2671" s="540"/>
    </row>
    <row r="2672" spans="1:15">
      <c r="A2672" s="565"/>
      <c r="C2672" s="566"/>
      <c r="M2672" s="540"/>
      <c r="O2672" s="540"/>
    </row>
    <row r="2673" spans="1:15">
      <c r="A2673" s="565"/>
      <c r="C2673" s="566"/>
      <c r="M2673" s="540"/>
      <c r="O2673" s="540"/>
    </row>
    <row r="2674" spans="1:15">
      <c r="A2674" s="565"/>
      <c r="C2674" s="566"/>
      <c r="M2674" s="540"/>
      <c r="O2674" s="540"/>
    </row>
    <row r="2675" spans="1:15">
      <c r="A2675" s="565"/>
      <c r="C2675" s="566"/>
      <c r="M2675" s="540"/>
      <c r="O2675" s="540"/>
    </row>
    <row r="2676" spans="1:15">
      <c r="A2676" s="565"/>
      <c r="C2676" s="566"/>
      <c r="M2676" s="540"/>
      <c r="O2676" s="540"/>
    </row>
    <row r="2677" spans="1:15">
      <c r="A2677" s="565"/>
      <c r="C2677" s="566"/>
      <c r="M2677" s="540"/>
      <c r="O2677" s="540"/>
    </row>
    <row r="2678" spans="1:15">
      <c r="A2678" s="565"/>
      <c r="C2678" s="566"/>
      <c r="M2678" s="540"/>
      <c r="O2678" s="540"/>
    </row>
    <row r="2679" spans="1:15">
      <c r="A2679" s="565"/>
      <c r="C2679" s="566"/>
      <c r="M2679" s="540"/>
      <c r="O2679" s="540"/>
    </row>
    <row r="2680" spans="1:15">
      <c r="A2680" s="565"/>
      <c r="C2680" s="566"/>
      <c r="M2680" s="540"/>
      <c r="O2680" s="540"/>
    </row>
    <row r="2681" spans="1:15">
      <c r="A2681" s="565"/>
      <c r="C2681" s="566"/>
      <c r="M2681" s="540"/>
      <c r="O2681" s="540"/>
    </row>
    <row r="2682" spans="1:15">
      <c r="A2682" s="565"/>
      <c r="C2682" s="566"/>
      <c r="M2682" s="540"/>
      <c r="O2682" s="540"/>
    </row>
    <row r="2683" spans="1:15">
      <c r="A2683" s="565"/>
      <c r="C2683" s="566"/>
      <c r="M2683" s="540"/>
      <c r="O2683" s="540"/>
    </row>
    <row r="2684" spans="1:15">
      <c r="A2684" s="565"/>
      <c r="C2684" s="566"/>
      <c r="M2684" s="540"/>
      <c r="O2684" s="540"/>
    </row>
    <row r="2685" spans="1:15">
      <c r="A2685" s="565"/>
      <c r="C2685" s="566"/>
      <c r="M2685" s="540"/>
      <c r="O2685" s="540"/>
    </row>
    <row r="2686" spans="1:15">
      <c r="A2686" s="565"/>
      <c r="C2686" s="566"/>
      <c r="M2686" s="540"/>
      <c r="O2686" s="540"/>
    </row>
    <row r="2687" spans="1:15">
      <c r="A2687" s="565"/>
      <c r="C2687" s="566"/>
      <c r="M2687" s="540"/>
      <c r="O2687" s="540"/>
    </row>
    <row r="2688" spans="1:15">
      <c r="A2688" s="565"/>
      <c r="C2688" s="566"/>
      <c r="M2688" s="540"/>
      <c r="O2688" s="540"/>
    </row>
    <row r="2689" spans="1:15">
      <c r="A2689" s="565"/>
      <c r="C2689" s="566"/>
      <c r="M2689" s="540"/>
      <c r="O2689" s="540"/>
    </row>
    <row r="2690" spans="1:15">
      <c r="A2690" s="565"/>
      <c r="C2690" s="566"/>
      <c r="M2690" s="540"/>
      <c r="O2690" s="540"/>
    </row>
    <row r="2691" spans="1:15">
      <c r="A2691" s="565"/>
      <c r="C2691" s="566"/>
      <c r="M2691" s="540"/>
      <c r="O2691" s="540"/>
    </row>
    <row r="2692" spans="1:15">
      <c r="A2692" s="565"/>
      <c r="C2692" s="566"/>
      <c r="M2692" s="540"/>
      <c r="O2692" s="540"/>
    </row>
    <row r="2693" spans="1:15">
      <c r="A2693" s="565"/>
      <c r="C2693" s="566"/>
      <c r="M2693" s="540"/>
      <c r="O2693" s="540"/>
    </row>
    <row r="2694" spans="1:15">
      <c r="A2694" s="565"/>
      <c r="C2694" s="566"/>
      <c r="M2694" s="540"/>
      <c r="O2694" s="540"/>
    </row>
    <row r="2695" spans="1:15">
      <c r="A2695" s="565"/>
      <c r="C2695" s="566"/>
      <c r="M2695" s="540"/>
      <c r="O2695" s="540"/>
    </row>
    <row r="2696" spans="1:15">
      <c r="A2696" s="565"/>
      <c r="C2696" s="566"/>
      <c r="M2696" s="540"/>
      <c r="O2696" s="540"/>
    </row>
    <row r="2697" spans="1:15">
      <c r="A2697" s="565"/>
      <c r="C2697" s="566"/>
      <c r="M2697" s="540"/>
      <c r="O2697" s="540"/>
    </row>
    <row r="2698" spans="1:15">
      <c r="A2698" s="565"/>
      <c r="C2698" s="566"/>
      <c r="M2698" s="540"/>
      <c r="O2698" s="540"/>
    </row>
    <row r="2699" spans="1:15">
      <c r="A2699" s="565"/>
      <c r="C2699" s="566"/>
      <c r="M2699" s="540"/>
      <c r="O2699" s="540"/>
    </row>
    <row r="2700" spans="1:15">
      <c r="A2700" s="565"/>
      <c r="C2700" s="566"/>
      <c r="M2700" s="540"/>
      <c r="O2700" s="540"/>
    </row>
    <row r="2701" spans="1:15">
      <c r="A2701" s="565"/>
      <c r="C2701" s="566"/>
      <c r="M2701" s="540"/>
      <c r="O2701" s="540"/>
    </row>
    <row r="2702" spans="1:15">
      <c r="A2702" s="565"/>
      <c r="C2702" s="566"/>
      <c r="M2702" s="540"/>
      <c r="O2702" s="540"/>
    </row>
    <row r="2703" spans="1:15">
      <c r="A2703" s="565"/>
      <c r="C2703" s="566"/>
      <c r="M2703" s="540"/>
      <c r="O2703" s="540"/>
    </row>
    <row r="2704" spans="1:15">
      <c r="A2704" s="565"/>
      <c r="C2704" s="566"/>
      <c r="M2704" s="540"/>
      <c r="O2704" s="540"/>
    </row>
    <row r="2705" spans="1:15">
      <c r="A2705" s="565"/>
      <c r="C2705" s="566"/>
      <c r="M2705" s="540"/>
      <c r="O2705" s="540"/>
    </row>
    <row r="2706" spans="1:15">
      <c r="A2706" s="565"/>
      <c r="C2706" s="566"/>
      <c r="M2706" s="540"/>
      <c r="O2706" s="540"/>
    </row>
    <row r="2707" spans="1:15">
      <c r="A2707" s="565"/>
      <c r="C2707" s="566"/>
      <c r="O2707" s="540"/>
    </row>
    <row r="2708" spans="1:15">
      <c r="A2708" s="565"/>
      <c r="C2708" s="566"/>
      <c r="O2708" s="540"/>
    </row>
    <row r="2709" spans="1:15">
      <c r="A2709" s="565"/>
      <c r="C2709" s="566"/>
      <c r="O2709" s="540"/>
    </row>
    <row r="2710" spans="1:15">
      <c r="A2710" s="565"/>
      <c r="C2710" s="566"/>
      <c r="O2710" s="540"/>
    </row>
    <row r="2711" spans="1:15">
      <c r="A2711" s="565"/>
      <c r="C2711" s="566"/>
      <c r="O2711" s="540"/>
    </row>
    <row r="2712" spans="1:15">
      <c r="A2712" s="565"/>
      <c r="C2712" s="566"/>
      <c r="O2712" s="540"/>
    </row>
    <row r="2713" spans="1:15">
      <c r="A2713" s="565"/>
      <c r="C2713" s="566"/>
      <c r="O2713" s="540"/>
    </row>
    <row r="2714" spans="1:15">
      <c r="A2714" s="565"/>
      <c r="C2714" s="566"/>
      <c r="O2714" s="540"/>
    </row>
    <row r="2715" spans="1:15">
      <c r="A2715" s="565"/>
      <c r="C2715" s="566"/>
      <c r="O2715" s="540"/>
    </row>
    <row r="2716" spans="1:15">
      <c r="A2716" s="565"/>
      <c r="C2716" s="566"/>
      <c r="O2716" s="540"/>
    </row>
    <row r="2717" spans="1:15">
      <c r="A2717" s="565"/>
      <c r="C2717" s="566"/>
      <c r="O2717" s="540"/>
    </row>
    <row r="2718" spans="1:15">
      <c r="A2718" s="565"/>
      <c r="C2718" s="566"/>
      <c r="O2718" s="540"/>
    </row>
    <row r="2719" spans="1:15">
      <c r="A2719" s="565"/>
      <c r="C2719" s="566"/>
      <c r="O2719" s="540"/>
    </row>
    <row r="2720" spans="1:15">
      <c r="A2720" s="565"/>
      <c r="C2720" s="566"/>
      <c r="O2720" s="540"/>
    </row>
    <row r="2721" spans="1:15">
      <c r="A2721" s="565"/>
      <c r="C2721" s="566"/>
      <c r="O2721" s="540"/>
    </row>
    <row r="2722" spans="1:15">
      <c r="A2722" s="565"/>
      <c r="C2722" s="566"/>
      <c r="O2722" s="540"/>
    </row>
    <row r="2723" spans="1:15">
      <c r="A2723" s="565"/>
      <c r="C2723" s="566"/>
      <c r="O2723" s="540"/>
    </row>
    <row r="2724" spans="1:15">
      <c r="A2724" s="565"/>
      <c r="C2724" s="566"/>
      <c r="O2724" s="540"/>
    </row>
    <row r="2725" spans="1:15">
      <c r="A2725" s="565"/>
      <c r="C2725" s="566"/>
      <c r="O2725" s="540"/>
    </row>
    <row r="2726" spans="1:15">
      <c r="A2726" s="565"/>
      <c r="C2726" s="566"/>
      <c r="O2726" s="540"/>
    </row>
    <row r="2727" spans="1:15">
      <c r="A2727" s="565"/>
      <c r="C2727" s="566"/>
      <c r="O2727" s="540"/>
    </row>
    <row r="2728" spans="1:15">
      <c r="A2728" s="565"/>
      <c r="C2728" s="566"/>
      <c r="O2728" s="540"/>
    </row>
    <row r="2729" spans="1:15">
      <c r="A2729" s="565"/>
      <c r="C2729" s="566"/>
      <c r="O2729" s="540"/>
    </row>
    <row r="2730" spans="1:15">
      <c r="A2730" s="565"/>
      <c r="C2730" s="566"/>
      <c r="O2730" s="540"/>
    </row>
    <row r="2731" spans="1:15">
      <c r="A2731" s="565"/>
      <c r="C2731" s="566"/>
      <c r="O2731" s="540"/>
    </row>
    <row r="2732" spans="1:15">
      <c r="A2732" s="565"/>
      <c r="C2732" s="566"/>
      <c r="O2732" s="540"/>
    </row>
    <row r="2733" spans="1:15">
      <c r="A2733" s="565"/>
      <c r="C2733" s="566"/>
      <c r="O2733" s="540"/>
    </row>
    <row r="2734" spans="1:15">
      <c r="A2734" s="565"/>
      <c r="C2734" s="566"/>
      <c r="O2734" s="540"/>
    </row>
    <row r="2735" spans="1:15">
      <c r="A2735" s="565"/>
      <c r="C2735" s="566"/>
      <c r="O2735" s="540"/>
    </row>
    <row r="2736" spans="1:15">
      <c r="A2736" s="565"/>
      <c r="C2736" s="566"/>
      <c r="O2736" s="540"/>
    </row>
    <row r="2737" spans="1:15">
      <c r="A2737" s="565"/>
      <c r="C2737" s="566"/>
      <c r="O2737" s="540"/>
    </row>
    <row r="2738" spans="1:15">
      <c r="A2738" s="565"/>
      <c r="C2738" s="566"/>
      <c r="O2738" s="540"/>
    </row>
    <row r="2739" spans="1:15">
      <c r="A2739" s="565"/>
      <c r="C2739" s="566"/>
      <c r="O2739" s="540"/>
    </row>
    <row r="2740" spans="1:15">
      <c r="A2740" s="565"/>
      <c r="C2740" s="566"/>
      <c r="O2740" s="540"/>
    </row>
    <row r="2741" spans="1:15">
      <c r="A2741" s="565"/>
      <c r="C2741" s="566"/>
      <c r="O2741" s="540"/>
    </row>
    <row r="2742" spans="1:15">
      <c r="A2742" s="565"/>
      <c r="C2742" s="566"/>
      <c r="O2742" s="540"/>
    </row>
    <row r="2743" spans="1:15">
      <c r="A2743" s="565"/>
      <c r="C2743" s="566"/>
      <c r="O2743" s="540"/>
    </row>
    <row r="2744" spans="1:15">
      <c r="A2744" s="565"/>
      <c r="C2744" s="566"/>
      <c r="O2744" s="540"/>
    </row>
    <row r="2745" spans="1:15">
      <c r="A2745" s="565"/>
      <c r="C2745" s="566"/>
      <c r="O2745" s="540"/>
    </row>
    <row r="2746" spans="1:15">
      <c r="A2746" s="565"/>
      <c r="C2746" s="566"/>
      <c r="O2746" s="540"/>
    </row>
    <row r="2747" spans="1:15">
      <c r="A2747" s="565"/>
      <c r="C2747" s="566"/>
      <c r="O2747" s="540"/>
    </row>
    <row r="2748" spans="1:15">
      <c r="A2748" s="565"/>
      <c r="C2748" s="566"/>
      <c r="O2748" s="540"/>
    </row>
    <row r="2749" spans="1:15">
      <c r="A2749" s="565"/>
      <c r="C2749" s="566"/>
      <c r="O2749" s="540"/>
    </row>
    <row r="2750" spans="1:15">
      <c r="A2750" s="565"/>
      <c r="C2750" s="566"/>
      <c r="O2750" s="540"/>
    </row>
    <row r="2751" spans="1:15">
      <c r="A2751" s="565"/>
      <c r="C2751" s="566"/>
      <c r="O2751" s="540"/>
    </row>
    <row r="2752" spans="1:15">
      <c r="A2752" s="565"/>
      <c r="C2752" s="566"/>
      <c r="O2752" s="540"/>
    </row>
    <row r="2753" spans="1:15">
      <c r="A2753" s="565"/>
      <c r="C2753" s="566"/>
      <c r="O2753" s="540"/>
    </row>
    <row r="2754" spans="1:15">
      <c r="A2754" s="565"/>
      <c r="C2754" s="566"/>
      <c r="O2754" s="540"/>
    </row>
    <row r="2755" spans="1:15">
      <c r="A2755" s="565"/>
      <c r="C2755" s="566"/>
      <c r="O2755" s="540"/>
    </row>
    <row r="2756" spans="1:15">
      <c r="A2756" s="565"/>
      <c r="C2756" s="566"/>
      <c r="O2756" s="540"/>
    </row>
    <row r="2757" spans="1:15">
      <c r="A2757" s="565"/>
      <c r="C2757" s="566"/>
      <c r="O2757" s="540"/>
    </row>
    <row r="2758" spans="1:15">
      <c r="A2758" s="565"/>
      <c r="C2758" s="566"/>
      <c r="O2758" s="540"/>
    </row>
    <row r="2759" spans="1:15">
      <c r="A2759" s="565"/>
      <c r="C2759" s="566"/>
      <c r="O2759" s="540"/>
    </row>
    <row r="2760" spans="1:15">
      <c r="A2760" s="565"/>
      <c r="C2760" s="566"/>
      <c r="O2760" s="540"/>
    </row>
    <row r="2761" spans="1:15">
      <c r="A2761" s="565"/>
      <c r="C2761" s="566"/>
      <c r="O2761" s="540"/>
    </row>
    <row r="2762" spans="1:15">
      <c r="A2762" s="565"/>
      <c r="C2762" s="566"/>
      <c r="O2762" s="540"/>
    </row>
    <row r="2763" spans="1:15">
      <c r="A2763" s="565"/>
      <c r="C2763" s="566"/>
      <c r="O2763" s="540"/>
    </row>
    <row r="2764" spans="1:15">
      <c r="A2764" s="565"/>
      <c r="C2764" s="566"/>
      <c r="O2764" s="540"/>
    </row>
    <row r="2765" spans="1:15">
      <c r="A2765" s="565"/>
      <c r="C2765" s="566"/>
      <c r="O2765" s="540"/>
    </row>
    <row r="2766" spans="1:15">
      <c r="A2766" s="565"/>
      <c r="C2766" s="566"/>
      <c r="O2766" s="540"/>
    </row>
    <row r="2767" spans="1:15">
      <c r="A2767" s="565"/>
      <c r="C2767" s="566"/>
      <c r="O2767" s="540"/>
    </row>
    <row r="2768" spans="1:15">
      <c r="A2768" s="565"/>
      <c r="C2768" s="566"/>
      <c r="O2768" s="540"/>
    </row>
    <row r="2769" spans="1:15">
      <c r="A2769" s="565"/>
      <c r="C2769" s="566"/>
      <c r="O2769" s="540"/>
    </row>
    <row r="2770" spans="1:15">
      <c r="A2770" s="565"/>
      <c r="C2770" s="566"/>
      <c r="O2770" s="540"/>
    </row>
    <row r="2771" spans="1:15">
      <c r="A2771" s="565"/>
      <c r="C2771" s="566"/>
      <c r="O2771" s="540"/>
    </row>
    <row r="2772" spans="1:15">
      <c r="A2772" s="565"/>
      <c r="C2772" s="566"/>
      <c r="O2772" s="540"/>
    </row>
    <row r="2773" spans="1:15">
      <c r="A2773" s="565"/>
      <c r="C2773" s="566"/>
      <c r="O2773" s="540"/>
    </row>
    <row r="2774" spans="1:15">
      <c r="A2774" s="565"/>
      <c r="C2774" s="566"/>
      <c r="O2774" s="540"/>
    </row>
    <row r="2775" spans="1:15">
      <c r="A2775" s="565"/>
      <c r="C2775" s="566"/>
      <c r="O2775" s="540"/>
    </row>
    <row r="2776" spans="1:15">
      <c r="A2776" s="565"/>
      <c r="C2776" s="566"/>
      <c r="O2776" s="540"/>
    </row>
    <row r="2777" spans="1:15">
      <c r="A2777" s="565"/>
      <c r="C2777" s="566"/>
      <c r="O2777" s="540"/>
    </row>
    <row r="2778" spans="1:15">
      <c r="A2778" s="565"/>
      <c r="C2778" s="566"/>
      <c r="O2778" s="540"/>
    </row>
    <row r="2779" spans="1:15">
      <c r="A2779" s="565"/>
      <c r="C2779" s="566"/>
      <c r="O2779" s="540"/>
    </row>
    <row r="2780" spans="1:15">
      <c r="A2780" s="565"/>
      <c r="C2780" s="566"/>
      <c r="O2780" s="540"/>
    </row>
    <row r="2781" spans="1:15">
      <c r="A2781" s="565"/>
      <c r="C2781" s="566"/>
      <c r="O2781" s="540"/>
    </row>
    <row r="2782" spans="1:15">
      <c r="A2782" s="565"/>
      <c r="C2782" s="566"/>
      <c r="O2782" s="540"/>
    </row>
    <row r="2783" spans="1:15">
      <c r="A2783" s="565"/>
      <c r="C2783" s="566"/>
      <c r="O2783" s="540"/>
    </row>
    <row r="2784" spans="1:15">
      <c r="A2784" s="565"/>
      <c r="C2784" s="566"/>
      <c r="O2784" s="540"/>
    </row>
    <row r="2785" spans="1:15">
      <c r="A2785" s="565"/>
      <c r="C2785" s="566"/>
      <c r="O2785" s="540"/>
    </row>
    <row r="2786" spans="1:15">
      <c r="A2786" s="565"/>
      <c r="C2786" s="566"/>
      <c r="O2786" s="540"/>
    </row>
    <row r="2787" spans="1:15">
      <c r="A2787" s="565"/>
      <c r="C2787" s="566"/>
      <c r="O2787" s="540"/>
    </row>
    <row r="2788" spans="1:15">
      <c r="A2788" s="565"/>
      <c r="C2788" s="566"/>
      <c r="O2788" s="540"/>
    </row>
    <row r="2789" spans="1:15">
      <c r="A2789" s="565"/>
      <c r="C2789" s="566"/>
      <c r="O2789" s="540"/>
    </row>
    <row r="2790" spans="1:15">
      <c r="A2790" s="565"/>
      <c r="C2790" s="566"/>
      <c r="O2790" s="540"/>
    </row>
    <row r="2791" spans="1:15">
      <c r="A2791" s="565"/>
      <c r="C2791" s="566"/>
      <c r="O2791" s="540"/>
    </row>
    <row r="2792" spans="1:15">
      <c r="A2792" s="565"/>
      <c r="C2792" s="566"/>
      <c r="O2792" s="540"/>
    </row>
    <row r="2793" spans="1:15">
      <c r="A2793" s="565"/>
      <c r="C2793" s="566"/>
      <c r="O2793" s="540"/>
    </row>
    <row r="2794" spans="1:15">
      <c r="A2794" s="565"/>
      <c r="C2794" s="566"/>
      <c r="O2794" s="540"/>
    </row>
    <row r="2795" spans="1:15">
      <c r="A2795" s="565"/>
      <c r="C2795" s="566"/>
      <c r="O2795" s="540"/>
    </row>
    <row r="2796" spans="1:15">
      <c r="A2796" s="565"/>
      <c r="C2796" s="566"/>
      <c r="O2796" s="540"/>
    </row>
    <row r="2797" spans="1:15">
      <c r="A2797" s="565"/>
      <c r="C2797" s="566"/>
      <c r="O2797" s="540"/>
    </row>
    <row r="2798" spans="1:15">
      <c r="A2798" s="565"/>
      <c r="C2798" s="566"/>
      <c r="O2798" s="540"/>
    </row>
    <row r="2799" spans="1:15">
      <c r="A2799" s="565"/>
      <c r="C2799" s="566"/>
      <c r="O2799" s="540"/>
    </row>
    <row r="2800" spans="1:15">
      <c r="A2800" s="565"/>
      <c r="C2800" s="566"/>
      <c r="O2800" s="540"/>
    </row>
    <row r="2801" spans="1:15">
      <c r="A2801" s="565"/>
      <c r="C2801" s="566"/>
      <c r="O2801" s="540"/>
    </row>
    <row r="2802" spans="1:15">
      <c r="A2802" s="565"/>
      <c r="C2802" s="566"/>
      <c r="O2802" s="540"/>
    </row>
    <row r="2803" spans="1:15">
      <c r="A2803" s="565"/>
      <c r="C2803" s="566"/>
      <c r="O2803" s="540"/>
    </row>
    <row r="2804" spans="1:15">
      <c r="A2804" s="565"/>
      <c r="C2804" s="566"/>
      <c r="O2804" s="540"/>
    </row>
    <row r="2805" spans="1:15">
      <c r="A2805" s="565"/>
      <c r="C2805" s="566"/>
      <c r="O2805" s="540"/>
    </row>
    <row r="2806" spans="1:15">
      <c r="A2806" s="565"/>
      <c r="C2806" s="566"/>
      <c r="O2806" s="540"/>
    </row>
    <row r="2807" spans="1:15">
      <c r="A2807" s="565"/>
      <c r="C2807" s="566"/>
      <c r="O2807" s="540"/>
    </row>
    <row r="2808" spans="1:15">
      <c r="A2808" s="565"/>
      <c r="C2808" s="566"/>
      <c r="O2808" s="540"/>
    </row>
    <row r="2809" spans="1:15">
      <c r="A2809" s="565"/>
      <c r="C2809" s="566"/>
      <c r="O2809" s="540"/>
    </row>
    <row r="2810" spans="1:15">
      <c r="A2810" s="565"/>
      <c r="C2810" s="566"/>
      <c r="O2810" s="540"/>
    </row>
    <row r="2811" spans="1:15">
      <c r="A2811" s="565"/>
      <c r="C2811" s="566"/>
      <c r="O2811" s="540"/>
    </row>
    <row r="2812" spans="1:15">
      <c r="A2812" s="565"/>
      <c r="C2812" s="566"/>
      <c r="O2812" s="540"/>
    </row>
    <row r="2813" spans="1:15">
      <c r="A2813" s="565"/>
      <c r="C2813" s="566"/>
      <c r="O2813" s="540"/>
    </row>
    <row r="2814" spans="1:15">
      <c r="A2814" s="565"/>
      <c r="C2814" s="566"/>
      <c r="O2814" s="540"/>
    </row>
    <row r="2815" spans="1:15">
      <c r="A2815" s="565"/>
      <c r="C2815" s="566"/>
      <c r="O2815" s="540"/>
    </row>
    <row r="2816" spans="1:15">
      <c r="A2816" s="565"/>
      <c r="C2816" s="566"/>
      <c r="O2816" s="540"/>
    </row>
    <row r="2817" spans="1:15">
      <c r="A2817" s="565"/>
      <c r="C2817" s="566"/>
      <c r="O2817" s="540"/>
    </row>
    <row r="2818" spans="1:15">
      <c r="A2818" s="565"/>
      <c r="C2818" s="566"/>
      <c r="O2818" s="540"/>
    </row>
    <row r="2819" spans="1:15">
      <c r="A2819" s="565"/>
      <c r="C2819" s="566"/>
      <c r="O2819" s="540"/>
    </row>
    <row r="2820" spans="1:15">
      <c r="A2820" s="565"/>
      <c r="C2820" s="566"/>
      <c r="O2820" s="540"/>
    </row>
    <row r="2821" spans="1:15">
      <c r="A2821" s="565"/>
      <c r="C2821" s="566"/>
      <c r="O2821" s="540"/>
    </row>
    <row r="2822" spans="1:15">
      <c r="A2822" s="565"/>
      <c r="C2822" s="566"/>
      <c r="O2822" s="540"/>
    </row>
    <row r="2823" spans="1:15">
      <c r="A2823" s="565"/>
      <c r="C2823" s="566"/>
      <c r="O2823" s="540"/>
    </row>
    <row r="2824" spans="1:15">
      <c r="A2824" s="565"/>
      <c r="C2824" s="566"/>
      <c r="O2824" s="540"/>
    </row>
    <row r="2825" spans="1:15">
      <c r="A2825" s="565"/>
      <c r="C2825" s="566"/>
      <c r="O2825" s="540"/>
    </row>
    <row r="2826" spans="1:15">
      <c r="A2826" s="565"/>
      <c r="C2826" s="566"/>
      <c r="O2826" s="540"/>
    </row>
    <row r="2827" spans="1:15">
      <c r="A2827" s="565"/>
      <c r="C2827" s="566"/>
      <c r="O2827" s="540"/>
    </row>
    <row r="2828" spans="1:15">
      <c r="A2828" s="565"/>
      <c r="C2828" s="566"/>
      <c r="O2828" s="540"/>
    </row>
    <row r="2829" spans="1:15">
      <c r="A2829" s="565"/>
      <c r="C2829" s="566"/>
      <c r="O2829" s="540"/>
    </row>
    <row r="2830" spans="1:15">
      <c r="A2830" s="565"/>
      <c r="C2830" s="566"/>
      <c r="O2830" s="540"/>
    </row>
    <row r="2831" spans="1:15">
      <c r="A2831" s="565"/>
      <c r="C2831" s="566"/>
      <c r="O2831" s="540"/>
    </row>
    <row r="2832" spans="1:15">
      <c r="A2832" s="565"/>
      <c r="C2832" s="566"/>
      <c r="O2832" s="540"/>
    </row>
    <row r="2833" spans="1:15">
      <c r="A2833" s="565"/>
      <c r="C2833" s="566"/>
      <c r="O2833" s="540"/>
    </row>
    <row r="2834" spans="1:15">
      <c r="A2834" s="565"/>
      <c r="C2834" s="566"/>
      <c r="O2834" s="540"/>
    </row>
    <row r="2835" spans="1:15">
      <c r="A2835" s="565"/>
      <c r="C2835" s="566"/>
      <c r="O2835" s="540"/>
    </row>
    <row r="2836" spans="1:15">
      <c r="A2836" s="565"/>
      <c r="C2836" s="566"/>
      <c r="O2836" s="540"/>
    </row>
    <row r="2837" spans="1:15">
      <c r="A2837" s="565"/>
      <c r="C2837" s="566"/>
      <c r="O2837" s="540"/>
    </row>
    <row r="2838" spans="1:15">
      <c r="A2838" s="565"/>
      <c r="C2838" s="566"/>
      <c r="O2838" s="540"/>
    </row>
    <row r="2839" spans="1:15">
      <c r="A2839" s="565"/>
      <c r="C2839" s="566"/>
      <c r="O2839" s="540"/>
    </row>
    <row r="2840" spans="1:15">
      <c r="A2840" s="565"/>
      <c r="C2840" s="566"/>
      <c r="O2840" s="540"/>
    </row>
    <row r="2841" spans="1:15">
      <c r="A2841" s="565"/>
      <c r="C2841" s="566"/>
      <c r="O2841" s="540"/>
    </row>
    <row r="2842" spans="1:15">
      <c r="A2842" s="565"/>
      <c r="C2842" s="566"/>
      <c r="O2842" s="540"/>
    </row>
    <row r="2843" spans="1:15">
      <c r="A2843" s="565"/>
      <c r="C2843" s="566"/>
      <c r="O2843" s="540"/>
    </row>
    <row r="2844" spans="1:15">
      <c r="A2844" s="565"/>
      <c r="C2844" s="566"/>
      <c r="O2844" s="540"/>
    </row>
    <row r="2845" spans="1:15">
      <c r="A2845" s="565"/>
      <c r="C2845" s="566"/>
      <c r="O2845" s="540"/>
    </row>
    <row r="2846" spans="1:15">
      <c r="A2846" s="565"/>
      <c r="C2846" s="566"/>
      <c r="O2846" s="540"/>
    </row>
    <row r="2847" spans="1:15">
      <c r="A2847" s="565"/>
      <c r="C2847" s="566"/>
      <c r="O2847" s="540"/>
    </row>
    <row r="2848" spans="1:15">
      <c r="A2848" s="565"/>
      <c r="C2848" s="566"/>
      <c r="O2848" s="540"/>
    </row>
    <row r="2849" spans="1:15">
      <c r="A2849" s="565"/>
      <c r="C2849" s="566"/>
      <c r="O2849" s="540"/>
    </row>
    <row r="2850" spans="1:15">
      <c r="A2850" s="565"/>
      <c r="C2850" s="566"/>
      <c r="O2850" s="540"/>
    </row>
    <row r="2851" spans="1:15">
      <c r="A2851" s="565"/>
      <c r="C2851" s="566"/>
      <c r="O2851" s="540"/>
    </row>
    <row r="2852" spans="1:15">
      <c r="A2852" s="565"/>
      <c r="C2852" s="566"/>
      <c r="O2852" s="540"/>
    </row>
    <row r="2853" spans="1:15">
      <c r="A2853" s="565"/>
      <c r="C2853" s="566"/>
      <c r="O2853" s="540"/>
    </row>
    <row r="2854" spans="1:15">
      <c r="A2854" s="565"/>
      <c r="C2854" s="566"/>
      <c r="O2854" s="540"/>
    </row>
    <row r="2855" spans="1:15">
      <c r="A2855" s="565"/>
      <c r="C2855" s="566"/>
      <c r="O2855" s="540"/>
    </row>
    <row r="2856" spans="1:15">
      <c r="A2856" s="565"/>
      <c r="C2856" s="566"/>
      <c r="O2856" s="540"/>
    </row>
    <row r="2857" spans="1:15">
      <c r="A2857" s="565"/>
      <c r="C2857" s="566"/>
      <c r="O2857" s="540"/>
    </row>
    <row r="2858" spans="1:15">
      <c r="A2858" s="565"/>
      <c r="C2858" s="566"/>
      <c r="O2858" s="540"/>
    </row>
    <row r="2859" spans="1:15">
      <c r="A2859" s="565"/>
      <c r="C2859" s="566"/>
      <c r="O2859" s="540"/>
    </row>
    <row r="2860" spans="1:15">
      <c r="A2860" s="565"/>
      <c r="C2860" s="566"/>
      <c r="O2860" s="540"/>
    </row>
    <row r="2861" spans="1:15">
      <c r="A2861" s="565"/>
      <c r="C2861" s="566"/>
      <c r="O2861" s="540"/>
    </row>
    <row r="2862" spans="1:15">
      <c r="A2862" s="565"/>
      <c r="C2862" s="566"/>
      <c r="O2862" s="540"/>
    </row>
    <row r="2863" spans="1:15">
      <c r="A2863" s="565"/>
      <c r="C2863" s="566"/>
      <c r="O2863" s="540"/>
    </row>
    <row r="2864" spans="1:15">
      <c r="A2864" s="565"/>
      <c r="C2864" s="566"/>
      <c r="O2864" s="540"/>
    </row>
    <row r="2865" spans="1:15">
      <c r="A2865" s="565"/>
      <c r="C2865" s="566"/>
      <c r="O2865" s="540"/>
    </row>
    <row r="2866" spans="1:15">
      <c r="A2866" s="565"/>
      <c r="C2866" s="566"/>
      <c r="O2866" s="540"/>
    </row>
    <row r="2867" spans="1:15">
      <c r="A2867" s="565"/>
      <c r="C2867" s="566"/>
      <c r="O2867" s="540"/>
    </row>
    <row r="2868" spans="1:15">
      <c r="A2868" s="565"/>
      <c r="C2868" s="566"/>
      <c r="O2868" s="540"/>
    </row>
    <row r="2869" spans="1:15">
      <c r="A2869" s="565"/>
      <c r="C2869" s="566"/>
      <c r="O2869" s="540"/>
    </row>
    <row r="2870" spans="1:15">
      <c r="A2870" s="565"/>
      <c r="C2870" s="566"/>
      <c r="O2870" s="540"/>
    </row>
    <row r="2871" spans="1:15">
      <c r="A2871" s="565"/>
      <c r="C2871" s="566"/>
      <c r="O2871" s="540"/>
    </row>
    <row r="2872" spans="1:15">
      <c r="A2872" s="565"/>
      <c r="C2872" s="566"/>
      <c r="O2872" s="540"/>
    </row>
    <row r="2873" spans="1:15">
      <c r="A2873" s="565"/>
      <c r="C2873" s="566"/>
      <c r="O2873" s="540"/>
    </row>
    <row r="2874" spans="1:15">
      <c r="A2874" s="565"/>
      <c r="C2874" s="566"/>
      <c r="O2874" s="540"/>
    </row>
    <row r="2875" spans="1:15">
      <c r="A2875" s="565"/>
      <c r="C2875" s="566"/>
      <c r="O2875" s="540"/>
    </row>
    <row r="2876" spans="1:15">
      <c r="A2876" s="565"/>
      <c r="C2876" s="566"/>
      <c r="O2876" s="540"/>
    </row>
    <row r="2877" spans="1:15">
      <c r="A2877" s="565"/>
      <c r="C2877" s="566"/>
      <c r="O2877" s="540"/>
    </row>
    <row r="2878" spans="1:15">
      <c r="A2878" s="565"/>
      <c r="C2878" s="566"/>
      <c r="O2878" s="540"/>
    </row>
    <row r="2879" spans="1:15">
      <c r="A2879" s="565"/>
      <c r="C2879" s="566"/>
      <c r="O2879" s="540"/>
    </row>
    <row r="2880" spans="1:15">
      <c r="A2880" s="565"/>
      <c r="C2880" s="566"/>
      <c r="O2880" s="540"/>
    </row>
    <row r="2881" spans="1:15">
      <c r="A2881" s="565"/>
      <c r="C2881" s="566"/>
      <c r="O2881" s="540"/>
    </row>
    <row r="2882" spans="1:15">
      <c r="A2882" s="565"/>
      <c r="C2882" s="566"/>
      <c r="O2882" s="540"/>
    </row>
    <row r="2883" spans="1:15">
      <c r="A2883" s="565"/>
      <c r="C2883" s="566"/>
      <c r="O2883" s="540"/>
    </row>
    <row r="2884" spans="1:15">
      <c r="A2884" s="565"/>
      <c r="C2884" s="566"/>
      <c r="O2884" s="540"/>
    </row>
    <row r="2885" spans="1:15">
      <c r="A2885" s="565"/>
      <c r="C2885" s="566"/>
      <c r="O2885" s="540"/>
    </row>
    <row r="2886" spans="1:15">
      <c r="A2886" s="565"/>
      <c r="C2886" s="566"/>
      <c r="O2886" s="540"/>
    </row>
    <row r="2887" spans="1:15">
      <c r="A2887" s="565"/>
      <c r="C2887" s="566"/>
      <c r="O2887" s="540"/>
    </row>
    <row r="2888" spans="1:15">
      <c r="A2888" s="565"/>
      <c r="C2888" s="566"/>
      <c r="O2888" s="540"/>
    </row>
    <row r="2889" spans="1:15">
      <c r="A2889" s="565"/>
      <c r="C2889" s="566"/>
      <c r="O2889" s="540"/>
    </row>
    <row r="2890" spans="1:15">
      <c r="A2890" s="565"/>
      <c r="C2890" s="566"/>
      <c r="O2890" s="540"/>
    </row>
    <row r="2891" spans="1:15">
      <c r="A2891" s="565"/>
      <c r="C2891" s="566"/>
      <c r="O2891" s="540"/>
    </row>
    <row r="2892" spans="1:15">
      <c r="A2892" s="565"/>
      <c r="C2892" s="566"/>
      <c r="O2892" s="540"/>
    </row>
    <row r="2893" spans="1:15">
      <c r="A2893" s="565"/>
      <c r="C2893" s="566"/>
      <c r="O2893" s="540"/>
    </row>
    <row r="2894" spans="1:15">
      <c r="A2894" s="565"/>
      <c r="C2894" s="566"/>
      <c r="O2894" s="540"/>
    </row>
    <row r="2895" spans="1:15">
      <c r="A2895" s="565"/>
      <c r="C2895" s="566"/>
      <c r="O2895" s="540"/>
    </row>
    <row r="2896" spans="1:15">
      <c r="A2896" s="565"/>
      <c r="C2896" s="566"/>
      <c r="O2896" s="540"/>
    </row>
    <row r="2897" spans="1:15">
      <c r="A2897" s="565"/>
      <c r="C2897" s="566"/>
      <c r="O2897" s="540"/>
    </row>
    <row r="2898" spans="1:15">
      <c r="A2898" s="565"/>
      <c r="C2898" s="566"/>
      <c r="O2898" s="540"/>
    </row>
    <row r="2899" spans="1:15">
      <c r="A2899" s="565"/>
      <c r="C2899" s="566"/>
      <c r="O2899" s="540"/>
    </row>
    <row r="2900" spans="1:15">
      <c r="A2900" s="565"/>
      <c r="C2900" s="566"/>
      <c r="O2900" s="540"/>
    </row>
    <row r="2901" spans="1:15">
      <c r="A2901" s="565"/>
      <c r="C2901" s="566"/>
      <c r="O2901" s="540"/>
    </row>
    <row r="2902" spans="1:15">
      <c r="A2902" s="565"/>
      <c r="C2902" s="566"/>
      <c r="O2902" s="540"/>
    </row>
    <row r="2903" spans="1:15">
      <c r="A2903" s="565"/>
      <c r="C2903" s="566"/>
      <c r="O2903" s="540"/>
    </row>
    <row r="2904" spans="1:15">
      <c r="A2904" s="565"/>
      <c r="C2904" s="566"/>
      <c r="O2904" s="540"/>
    </row>
    <row r="2905" spans="1:15">
      <c r="A2905" s="565"/>
      <c r="C2905" s="566"/>
      <c r="O2905" s="540"/>
    </row>
    <row r="2906" spans="1:15">
      <c r="A2906" s="565"/>
      <c r="C2906" s="566"/>
      <c r="O2906" s="540"/>
    </row>
    <row r="2907" spans="1:15">
      <c r="A2907" s="565"/>
      <c r="C2907" s="566"/>
      <c r="O2907" s="540"/>
    </row>
    <row r="2908" spans="1:15">
      <c r="A2908" s="565"/>
      <c r="C2908" s="566"/>
      <c r="O2908" s="540"/>
    </row>
    <row r="2909" spans="1:15">
      <c r="A2909" s="565"/>
      <c r="C2909" s="566"/>
      <c r="O2909" s="540"/>
    </row>
    <row r="2910" spans="1:15">
      <c r="A2910" s="565"/>
      <c r="C2910" s="566"/>
      <c r="O2910" s="540"/>
    </row>
    <row r="2911" spans="1:15">
      <c r="A2911" s="565"/>
      <c r="C2911" s="566"/>
      <c r="O2911" s="540"/>
    </row>
    <row r="2912" spans="1:15">
      <c r="A2912" s="565"/>
      <c r="C2912" s="566"/>
      <c r="O2912" s="540"/>
    </row>
    <row r="2913" spans="1:15">
      <c r="A2913" s="565"/>
      <c r="C2913" s="566"/>
      <c r="O2913" s="540"/>
    </row>
    <row r="2914" spans="1:15">
      <c r="A2914" s="565"/>
      <c r="C2914" s="566"/>
      <c r="O2914" s="540"/>
    </row>
    <row r="2915" spans="1:15">
      <c r="A2915" s="565"/>
      <c r="C2915" s="566"/>
      <c r="O2915" s="540"/>
    </row>
    <row r="2916" spans="1:15">
      <c r="A2916" s="565"/>
      <c r="C2916" s="566"/>
      <c r="O2916" s="540"/>
    </row>
    <row r="2917" spans="1:15">
      <c r="A2917" s="565"/>
      <c r="C2917" s="566"/>
      <c r="O2917" s="540"/>
    </row>
    <row r="2918" spans="1:15">
      <c r="A2918" s="565"/>
      <c r="C2918" s="566"/>
      <c r="O2918" s="540"/>
    </row>
    <row r="2919" spans="1:15">
      <c r="A2919" s="565"/>
      <c r="C2919" s="566"/>
      <c r="O2919" s="540"/>
    </row>
    <row r="2920" spans="1:15">
      <c r="A2920" s="565"/>
      <c r="C2920" s="566"/>
      <c r="O2920" s="540"/>
    </row>
    <row r="2921" spans="1:15">
      <c r="A2921" s="565"/>
      <c r="C2921" s="566"/>
      <c r="O2921" s="540"/>
    </row>
    <row r="2922" spans="1:15">
      <c r="A2922" s="565"/>
      <c r="C2922" s="566"/>
      <c r="O2922" s="540"/>
    </row>
    <row r="2923" spans="1:15">
      <c r="A2923" s="565"/>
      <c r="C2923" s="566"/>
      <c r="O2923" s="540"/>
    </row>
    <row r="2924" spans="1:15">
      <c r="A2924" s="565"/>
      <c r="C2924" s="566"/>
      <c r="O2924" s="540"/>
    </row>
    <row r="2925" spans="1:15">
      <c r="A2925" s="565"/>
      <c r="C2925" s="566"/>
      <c r="O2925" s="540"/>
    </row>
    <row r="2926" spans="1:15">
      <c r="A2926" s="565"/>
      <c r="C2926" s="566"/>
      <c r="O2926" s="540"/>
    </row>
    <row r="2927" spans="1:15">
      <c r="A2927" s="565"/>
      <c r="C2927" s="566"/>
      <c r="O2927" s="540"/>
    </row>
    <row r="2928" spans="1:15">
      <c r="A2928" s="565"/>
      <c r="C2928" s="566"/>
      <c r="O2928" s="540"/>
    </row>
    <row r="2929" spans="1:15">
      <c r="A2929" s="565"/>
      <c r="C2929" s="566"/>
      <c r="O2929" s="540"/>
    </row>
    <row r="2930" spans="1:15">
      <c r="A2930" s="565"/>
      <c r="C2930" s="566"/>
      <c r="O2930" s="540"/>
    </row>
    <row r="2931" spans="1:15">
      <c r="A2931" s="565"/>
      <c r="C2931" s="566"/>
      <c r="O2931" s="540"/>
    </row>
    <row r="2932" spans="1:15">
      <c r="A2932" s="565"/>
      <c r="C2932" s="566"/>
      <c r="O2932" s="540"/>
    </row>
    <row r="2933" spans="1:15">
      <c r="A2933" s="565"/>
      <c r="C2933" s="566"/>
      <c r="O2933" s="540"/>
    </row>
    <row r="2934" spans="1:15">
      <c r="A2934" s="565"/>
      <c r="C2934" s="566"/>
      <c r="O2934" s="540"/>
    </row>
    <row r="2935" spans="1:15">
      <c r="A2935" s="565"/>
      <c r="C2935" s="566"/>
      <c r="O2935" s="540"/>
    </row>
    <row r="2936" spans="1:15">
      <c r="A2936" s="565"/>
      <c r="C2936" s="566"/>
      <c r="O2936" s="540"/>
    </row>
    <row r="2937" spans="1:15">
      <c r="A2937" s="565"/>
      <c r="C2937" s="566"/>
      <c r="O2937" s="540"/>
    </row>
    <row r="2938" spans="1:15">
      <c r="A2938" s="565"/>
      <c r="C2938" s="566"/>
      <c r="O2938" s="540"/>
    </row>
    <row r="2939" spans="1:15">
      <c r="A2939" s="565"/>
      <c r="C2939" s="566"/>
      <c r="O2939" s="540"/>
    </row>
    <row r="2940" spans="1:15">
      <c r="A2940" s="565"/>
      <c r="C2940" s="566"/>
      <c r="O2940" s="540"/>
    </row>
    <row r="2941" spans="1:15">
      <c r="A2941" s="565"/>
      <c r="C2941" s="566"/>
      <c r="O2941" s="540"/>
    </row>
    <row r="2942" spans="1:15">
      <c r="A2942" s="565"/>
      <c r="C2942" s="566"/>
      <c r="O2942" s="540"/>
    </row>
    <row r="2943" spans="1:15">
      <c r="A2943" s="565"/>
      <c r="C2943" s="566"/>
      <c r="O2943" s="540"/>
    </row>
    <row r="2944" spans="1:15">
      <c r="A2944" s="565"/>
      <c r="C2944" s="566"/>
      <c r="O2944" s="540"/>
    </row>
    <row r="2945" spans="1:15">
      <c r="A2945" s="565"/>
      <c r="C2945" s="566"/>
      <c r="O2945" s="540"/>
    </row>
    <row r="2946" spans="1:15">
      <c r="A2946" s="565"/>
      <c r="C2946" s="566"/>
      <c r="O2946" s="540"/>
    </row>
    <row r="2947" spans="1:15">
      <c r="A2947" s="565"/>
      <c r="C2947" s="566"/>
      <c r="O2947" s="540"/>
    </row>
    <row r="2948" spans="1:15">
      <c r="A2948" s="565"/>
      <c r="C2948" s="566"/>
      <c r="O2948" s="540"/>
    </row>
    <row r="2949" spans="1:15">
      <c r="A2949" s="565"/>
      <c r="C2949" s="566"/>
      <c r="O2949" s="540"/>
    </row>
    <row r="2950" spans="1:15">
      <c r="A2950" s="565"/>
      <c r="C2950" s="566"/>
      <c r="O2950" s="540"/>
    </row>
    <row r="2951" spans="1:15">
      <c r="A2951" s="565"/>
      <c r="C2951" s="566"/>
      <c r="O2951" s="540"/>
    </row>
    <row r="2952" spans="1:15">
      <c r="A2952" s="565"/>
      <c r="C2952" s="566"/>
      <c r="O2952" s="540"/>
    </row>
    <row r="2953" spans="1:15">
      <c r="A2953" s="565"/>
      <c r="C2953" s="566"/>
      <c r="O2953" s="540"/>
    </row>
    <row r="2954" spans="1:15">
      <c r="A2954" s="565"/>
      <c r="C2954" s="566"/>
      <c r="O2954" s="540"/>
    </row>
    <row r="2955" spans="1:15">
      <c r="A2955" s="565"/>
      <c r="C2955" s="566"/>
      <c r="O2955" s="540"/>
    </row>
    <row r="2956" spans="1:15">
      <c r="A2956" s="565"/>
      <c r="C2956" s="566"/>
      <c r="O2956" s="540"/>
    </row>
    <row r="2957" spans="1:15">
      <c r="O2957" s="540"/>
    </row>
    <row r="2958" spans="1:15">
      <c r="O2958" s="540"/>
    </row>
    <row r="2959" spans="1:15">
      <c r="O2959" s="540"/>
    </row>
    <row r="2960" spans="1:15">
      <c r="O2960" s="540"/>
    </row>
    <row r="2961" spans="15:15">
      <c r="O2961" s="540"/>
    </row>
    <row r="2962" spans="15:15">
      <c r="O2962" s="540"/>
    </row>
    <row r="2963" spans="15:15">
      <c r="O2963" s="540"/>
    </row>
    <row r="2964" spans="15:15">
      <c r="O2964" s="540"/>
    </row>
    <row r="2965" spans="15:15">
      <c r="O2965" s="540"/>
    </row>
    <row r="2966" spans="15:15">
      <c r="O2966" s="540"/>
    </row>
    <row r="2967" spans="15:15">
      <c r="O2967" s="540"/>
    </row>
    <row r="2968" spans="15:15">
      <c r="O2968" s="540"/>
    </row>
    <row r="2969" spans="15:15">
      <c r="O2969" s="540"/>
    </row>
    <row r="2970" spans="15:15">
      <c r="O2970" s="540"/>
    </row>
    <row r="2971" spans="15:15">
      <c r="O2971" s="540"/>
    </row>
    <row r="2972" spans="15:15">
      <c r="O2972" s="540"/>
    </row>
    <row r="2973" spans="15:15">
      <c r="O2973" s="540"/>
    </row>
    <row r="2974" spans="15:15">
      <c r="O2974" s="540"/>
    </row>
    <row r="2975" spans="15:15">
      <c r="O2975" s="540"/>
    </row>
    <row r="2976" spans="15:15">
      <c r="O2976" s="540"/>
    </row>
    <row r="2977" spans="15:15">
      <c r="O2977" s="540"/>
    </row>
    <row r="2978" spans="15:15">
      <c r="O2978" s="540"/>
    </row>
    <row r="2979" spans="15:15">
      <c r="O2979" s="540"/>
    </row>
    <row r="2980" spans="15:15">
      <c r="O2980" s="540"/>
    </row>
    <row r="2981" spans="15:15">
      <c r="O2981" s="540"/>
    </row>
    <row r="2982" spans="15:15">
      <c r="O2982" s="540"/>
    </row>
    <row r="2983" spans="15:15">
      <c r="O2983" s="540"/>
    </row>
  </sheetData>
  <mergeCells count="1">
    <mergeCell ref="G5:J5"/>
  </mergeCells>
  <phoneticPr fontId="24"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s>
  <sheetData>
    <row r="1" spans="1:6" ht="20.25" thickBot="1">
      <c r="A1" s="12" t="s">
        <v>1614</v>
      </c>
      <c r="B1" s="12"/>
      <c r="C1" s="12"/>
      <c r="D1" s="12"/>
      <c r="E1" s="12"/>
      <c r="F1" s="12"/>
    </row>
    <row r="2" spans="1:6" ht="15.75" thickTop="1"/>
    <row r="3" spans="1:6">
      <c r="B3" s="13" t="s">
        <v>1612</v>
      </c>
    </row>
    <row r="4" spans="1:6">
      <c r="A4" s="2" t="s">
        <v>493</v>
      </c>
      <c r="B4" s="2" t="s">
        <v>494</v>
      </c>
      <c r="C4" s="3" t="s">
        <v>495</v>
      </c>
      <c r="D4" s="2" t="s">
        <v>1613</v>
      </c>
      <c r="E4" s="2" t="s">
        <v>2195</v>
      </c>
    </row>
    <row r="5" spans="1:6">
      <c r="A5" s="14">
        <v>0</v>
      </c>
      <c r="B5" s="14" t="s">
        <v>2206</v>
      </c>
      <c r="C5" s="15">
        <f>A5</f>
        <v>0</v>
      </c>
      <c r="D5" s="20">
        <v>0</v>
      </c>
      <c r="E5" s="20">
        <v>0</v>
      </c>
    </row>
    <row r="6" spans="1:6">
      <c r="A6" s="14">
        <v>1</v>
      </c>
      <c r="B6" s="14" t="s">
        <v>549</v>
      </c>
      <c r="C6" s="15">
        <f>A6</f>
        <v>1</v>
      </c>
      <c r="D6" s="20">
        <v>276.69</v>
      </c>
      <c r="E6" s="20">
        <v>274.62</v>
      </c>
    </row>
    <row r="7" spans="1:6">
      <c r="A7" s="433">
        <v>2</v>
      </c>
      <c r="B7" s="433" t="s">
        <v>601</v>
      </c>
      <c r="C7" s="15">
        <f>A7</f>
        <v>2</v>
      </c>
      <c r="D7" s="20">
        <v>288.02</v>
      </c>
      <c r="E7" s="20">
        <v>285.86</v>
      </c>
    </row>
    <row r="8" spans="1:6">
      <c r="A8" s="14">
        <v>3</v>
      </c>
      <c r="B8" s="433" t="s">
        <v>3793</v>
      </c>
      <c r="C8" s="15">
        <f>A8</f>
        <v>3</v>
      </c>
      <c r="D8" s="20">
        <v>0</v>
      </c>
      <c r="E8" s="20">
        <v>0</v>
      </c>
    </row>
    <row r="11" spans="1:6">
      <c r="B11" s="13" t="s">
        <v>1615</v>
      </c>
    </row>
    <row r="12" spans="1:6">
      <c r="A12" s="2" t="s">
        <v>493</v>
      </c>
      <c r="B12" s="2" t="s">
        <v>494</v>
      </c>
      <c r="C12" s="3" t="s">
        <v>495</v>
      </c>
      <c r="D12" s="2" t="s">
        <v>549</v>
      </c>
      <c r="E12" s="2" t="s">
        <v>1616</v>
      </c>
    </row>
    <row r="13" spans="1:6">
      <c r="A13" s="14">
        <v>1</v>
      </c>
      <c r="B13" s="32" t="s">
        <v>1628</v>
      </c>
      <c r="C13" s="15">
        <f t="shared" ref="C13:C18" si="0">A13</f>
        <v>1</v>
      </c>
      <c r="D13" s="21">
        <v>1</v>
      </c>
      <c r="E13" s="21">
        <v>1</v>
      </c>
    </row>
    <row r="14" spans="1:6">
      <c r="A14" s="14">
        <v>2</v>
      </c>
      <c r="B14" s="32" t="s">
        <v>1629</v>
      </c>
      <c r="C14" s="15">
        <f t="shared" si="0"/>
        <v>2</v>
      </c>
      <c r="D14" s="21">
        <v>1.4843999999999999</v>
      </c>
      <c r="E14" s="21">
        <v>1.5031000000000001</v>
      </c>
    </row>
    <row r="15" spans="1:6">
      <c r="A15" s="14">
        <v>3</v>
      </c>
      <c r="B15" s="32" t="s">
        <v>1630</v>
      </c>
      <c r="C15" s="15">
        <f t="shared" si="0"/>
        <v>3</v>
      </c>
      <c r="D15" s="21">
        <v>1.9689000000000001</v>
      </c>
      <c r="E15" s="21">
        <v>2.0248400000000002</v>
      </c>
    </row>
    <row r="16" spans="1:6">
      <c r="A16" s="14">
        <v>4</v>
      </c>
      <c r="B16" s="32" t="s">
        <v>1631</v>
      </c>
      <c r="C16" s="15">
        <f t="shared" si="0"/>
        <v>4</v>
      </c>
      <c r="D16" s="21">
        <v>2.9173</v>
      </c>
      <c r="E16" s="21">
        <v>3.1449199999999999</v>
      </c>
    </row>
    <row r="17" spans="1:6">
      <c r="A17" s="14">
        <v>5</v>
      </c>
      <c r="B17" s="32" t="s">
        <v>1632</v>
      </c>
      <c r="C17" s="15">
        <f t="shared" si="0"/>
        <v>5</v>
      </c>
      <c r="D17" s="21">
        <v>3.8609</v>
      </c>
      <c r="E17" s="21">
        <v>4.3333300000000001</v>
      </c>
    </row>
    <row r="18" spans="1:6">
      <c r="A18" s="14">
        <v>6</v>
      </c>
      <c r="B18" s="32" t="s">
        <v>1633</v>
      </c>
      <c r="C18" s="15">
        <f t="shared" si="0"/>
        <v>6</v>
      </c>
      <c r="D18" s="21">
        <v>4.8033000000000001</v>
      </c>
      <c r="E18" s="21">
        <v>5.6832200000000004</v>
      </c>
    </row>
    <row r="21" spans="1:6">
      <c r="B21" s="13" t="s">
        <v>1634</v>
      </c>
      <c r="F21" s="415" t="s">
        <v>3295</v>
      </c>
    </row>
    <row r="22" spans="1:6">
      <c r="A22" s="2" t="s">
        <v>493</v>
      </c>
      <c r="B22" s="2" t="s">
        <v>494</v>
      </c>
      <c r="C22" s="3" t="s">
        <v>495</v>
      </c>
      <c r="D22" s="2" t="s">
        <v>2255</v>
      </c>
      <c r="E22" s="229" t="s">
        <v>1613</v>
      </c>
      <c r="F22" s="414" t="str">
        <f ca="1">IF(ID_INCREMENTO_RC=0,"",IF(ID_INCREMENTO_RC=1,CONCATENATE(", "&amp;B24&amp;".00"),IF(ID_INCREMENTO_RC=2,CONCATENATE(", "&amp;B25&amp;".00"))))</f>
        <v/>
      </c>
    </row>
    <row r="23" spans="1:6">
      <c r="A23" s="14">
        <v>0</v>
      </c>
      <c r="B23" s="32" t="s">
        <v>1635</v>
      </c>
      <c r="C23" s="15">
        <f>A23</f>
        <v>0</v>
      </c>
      <c r="D23" s="41" t="b">
        <v>0</v>
      </c>
      <c r="E23" s="116" t="s">
        <v>2272</v>
      </c>
    </row>
    <row r="24" spans="1:6">
      <c r="A24" s="14">
        <v>1</v>
      </c>
      <c r="B24" s="32" t="s">
        <v>3300</v>
      </c>
      <c r="C24" s="15">
        <f>A24</f>
        <v>1</v>
      </c>
      <c r="D24" s="41" t="b">
        <v>1</v>
      </c>
      <c r="E24" s="116" t="s">
        <v>3265</v>
      </c>
    </row>
    <row r="25" spans="1:6">
      <c r="A25" s="14">
        <v>2</v>
      </c>
      <c r="B25" s="32" t="s">
        <v>4280</v>
      </c>
      <c r="C25" s="15">
        <f>A25</f>
        <v>2</v>
      </c>
      <c r="D25" s="41" t="b">
        <v>1</v>
      </c>
      <c r="E25" s="116" t="s">
        <v>3266</v>
      </c>
    </row>
    <row r="26" spans="1:6">
      <c r="A26" s="14"/>
      <c r="B26" s="43"/>
      <c r="C26" s="15"/>
      <c r="D26" s="41"/>
      <c r="E26" s="116"/>
    </row>
    <row r="29" spans="1:6">
      <c r="B29" s="13" t="s">
        <v>1642</v>
      </c>
    </row>
    <row r="30" spans="1:6">
      <c r="A30" s="2" t="s">
        <v>493</v>
      </c>
      <c r="B30" s="2" t="s">
        <v>494</v>
      </c>
      <c r="C30" s="3" t="s">
        <v>495</v>
      </c>
      <c r="D30" s="2" t="s">
        <v>1646</v>
      </c>
      <c r="E30" s="2" t="s">
        <v>1683</v>
      </c>
    </row>
    <row r="31" spans="1:6">
      <c r="A31" s="14">
        <v>1</v>
      </c>
      <c r="B31" s="32" t="s">
        <v>1643</v>
      </c>
      <c r="C31" s="15">
        <f>A31</f>
        <v>1</v>
      </c>
      <c r="D31" s="21" t="b">
        <v>1</v>
      </c>
      <c r="E31" t="b">
        <v>1</v>
      </c>
    </row>
    <row r="32" spans="1:6">
      <c r="A32" s="14">
        <v>2</v>
      </c>
      <c r="B32" s="32" t="s">
        <v>1644</v>
      </c>
      <c r="C32" s="15">
        <f>A32</f>
        <v>2</v>
      </c>
      <c r="D32" s="21" t="b">
        <v>1</v>
      </c>
      <c r="E32" t="b">
        <v>0</v>
      </c>
    </row>
    <row r="33" spans="1:9">
      <c r="A33" s="14">
        <v>3</v>
      </c>
      <c r="B33" s="32" t="s">
        <v>1645</v>
      </c>
      <c r="C33" s="15">
        <f>A33</f>
        <v>3</v>
      </c>
      <c r="D33" s="21" t="b">
        <v>0</v>
      </c>
      <c r="E33" t="b">
        <v>0</v>
      </c>
    </row>
    <row r="36" spans="1:9">
      <c r="B36" s="13" t="s">
        <v>1650</v>
      </c>
    </row>
    <row r="37" spans="1:9">
      <c r="A37" s="2" t="s">
        <v>493</v>
      </c>
      <c r="B37" s="2" t="s">
        <v>494</v>
      </c>
      <c r="C37" s="3" t="s">
        <v>495</v>
      </c>
      <c r="D37" s="2" t="s">
        <v>1661</v>
      </c>
      <c r="E37" s="31" t="s">
        <v>1662</v>
      </c>
      <c r="F37" s="2" t="s">
        <v>1678</v>
      </c>
      <c r="H37" s="931" t="s">
        <v>12</v>
      </c>
      <c r="I37" s="932"/>
    </row>
    <row r="38" spans="1:9">
      <c r="A38" s="14">
        <v>1</v>
      </c>
      <c r="B38" s="32" t="s">
        <v>1651</v>
      </c>
      <c r="C38" s="15">
        <f t="shared" ref="C38:C47" si="1">A38</f>
        <v>1</v>
      </c>
      <c r="D38" s="21" t="b">
        <v>1</v>
      </c>
      <c r="E38" s="14">
        <v>3</v>
      </c>
      <c r="F38" t="b">
        <v>0</v>
      </c>
      <c r="H38" s="13" t="s">
        <v>2214</v>
      </c>
      <c r="I38" s="13" t="s">
        <v>2324</v>
      </c>
    </row>
    <row r="39" spans="1:9">
      <c r="A39" s="14">
        <v>2</v>
      </c>
      <c r="B39" s="32" t="s">
        <v>1652</v>
      </c>
      <c r="C39" s="15">
        <f t="shared" si="1"/>
        <v>2</v>
      </c>
      <c r="D39" s="21" t="b">
        <v>1</v>
      </c>
      <c r="E39" s="14">
        <v>5</v>
      </c>
      <c r="F39" t="b">
        <v>1</v>
      </c>
      <c r="H39" s="261" t="str">
        <f t="shared" ref="H39:H48" si="2">B38</f>
        <v>Anual Financiado</v>
      </c>
      <c r="I39" s="261" t="str">
        <f>B38</f>
        <v>Anual Financiado</v>
      </c>
    </row>
    <row r="40" spans="1:9">
      <c r="A40" s="14">
        <v>3</v>
      </c>
      <c r="B40" s="32" t="s">
        <v>1653</v>
      </c>
      <c r="C40" s="15">
        <f t="shared" si="1"/>
        <v>3</v>
      </c>
      <c r="D40" s="21" t="b">
        <v>1</v>
      </c>
      <c r="E40" s="14">
        <v>6</v>
      </c>
      <c r="F40" t="b">
        <v>1</v>
      </c>
      <c r="H40" s="262" t="str">
        <f t="shared" si="2"/>
        <v>Multianual Financiado (24M)</v>
      </c>
      <c r="I40" s="263" t="str">
        <f>B43</f>
        <v>Anual Contado</v>
      </c>
    </row>
    <row r="41" spans="1:9">
      <c r="A41" s="14">
        <v>4</v>
      </c>
      <c r="B41" s="14" t="s">
        <v>1654</v>
      </c>
      <c r="C41" s="15">
        <f t="shared" si="1"/>
        <v>4</v>
      </c>
      <c r="D41" t="b">
        <v>1</v>
      </c>
      <c r="E41" s="14">
        <v>7</v>
      </c>
      <c r="F41" t="b">
        <v>1</v>
      </c>
      <c r="H41" s="262" t="str">
        <f t="shared" si="2"/>
        <v>Multianual Financiado (36M)</v>
      </c>
      <c r="I41" s="14"/>
    </row>
    <row r="42" spans="1:9">
      <c r="A42" s="14">
        <v>5</v>
      </c>
      <c r="B42" s="14" t="s">
        <v>1655</v>
      </c>
      <c r="C42" s="15">
        <f t="shared" si="1"/>
        <v>5</v>
      </c>
      <c r="D42" t="b">
        <v>1</v>
      </c>
      <c r="E42" s="14">
        <v>8</v>
      </c>
      <c r="F42" t="b">
        <v>1</v>
      </c>
      <c r="H42" s="262" t="str">
        <f t="shared" si="2"/>
        <v>Multianual Financiado (48M)</v>
      </c>
      <c r="I42" s="14"/>
    </row>
    <row r="43" spans="1:9">
      <c r="A43" s="14">
        <v>6</v>
      </c>
      <c r="B43" s="14" t="s">
        <v>1656</v>
      </c>
      <c r="C43" s="15">
        <f t="shared" si="1"/>
        <v>6</v>
      </c>
      <c r="D43" t="b">
        <v>0</v>
      </c>
      <c r="E43" s="14">
        <v>3</v>
      </c>
      <c r="F43" t="b">
        <v>0</v>
      </c>
      <c r="H43" s="262" t="str">
        <f t="shared" si="2"/>
        <v>Multianual Financiado (60M)</v>
      </c>
      <c r="I43" s="14"/>
    </row>
    <row r="44" spans="1:9">
      <c r="A44" s="14">
        <v>7</v>
      </c>
      <c r="B44" s="14" t="s">
        <v>1657</v>
      </c>
      <c r="C44" s="15">
        <f t="shared" si="1"/>
        <v>7</v>
      </c>
      <c r="D44" t="b">
        <v>0</v>
      </c>
      <c r="E44" s="14">
        <v>5</v>
      </c>
      <c r="F44" t="b">
        <v>1</v>
      </c>
      <c r="H44" s="262" t="str">
        <f t="shared" si="2"/>
        <v>Anual Contado</v>
      </c>
      <c r="I44" s="14"/>
    </row>
    <row r="45" spans="1:9">
      <c r="A45" s="14">
        <v>8</v>
      </c>
      <c r="B45" s="14" t="s">
        <v>1658</v>
      </c>
      <c r="C45" s="15">
        <f t="shared" si="1"/>
        <v>8</v>
      </c>
      <c r="D45" t="b">
        <v>0</v>
      </c>
      <c r="E45" s="14">
        <v>6</v>
      </c>
      <c r="F45" t="b">
        <v>1</v>
      </c>
      <c r="H45" s="262" t="str">
        <f t="shared" si="2"/>
        <v>Multianual Contado (24M)</v>
      </c>
      <c r="I45" s="14"/>
    </row>
    <row r="46" spans="1:9">
      <c r="A46" s="14">
        <v>9</v>
      </c>
      <c r="B46" s="14" t="s">
        <v>1659</v>
      </c>
      <c r="C46" s="15">
        <f t="shared" si="1"/>
        <v>9</v>
      </c>
      <c r="D46" t="b">
        <v>0</v>
      </c>
      <c r="E46" s="14">
        <v>7</v>
      </c>
      <c r="F46" t="b">
        <v>1</v>
      </c>
      <c r="H46" s="262" t="str">
        <f t="shared" si="2"/>
        <v>Multianual Contado (36M)</v>
      </c>
      <c r="I46" s="14"/>
    </row>
    <row r="47" spans="1:9">
      <c r="A47" s="14">
        <v>10</v>
      </c>
      <c r="B47" s="14" t="s">
        <v>1660</v>
      </c>
      <c r="C47" s="15">
        <f t="shared" si="1"/>
        <v>10</v>
      </c>
      <c r="D47" t="b">
        <v>0</v>
      </c>
      <c r="E47" s="14">
        <v>8</v>
      </c>
      <c r="F47" t="b">
        <v>1</v>
      </c>
      <c r="H47" s="262" t="str">
        <f t="shared" si="2"/>
        <v>Multianual Contado (48M)</v>
      </c>
      <c r="I47" s="14"/>
    </row>
    <row r="48" spans="1:9">
      <c r="H48" s="263" t="str">
        <f t="shared" si="2"/>
        <v>Multianual Contado (60M)</v>
      </c>
      <c r="I48" s="14"/>
    </row>
    <row r="51" spans="1:7">
      <c r="B51" s="344" t="s">
        <v>2450</v>
      </c>
      <c r="F51" s="415" t="s">
        <v>3295</v>
      </c>
    </row>
    <row r="52" spans="1:7">
      <c r="A52" s="2" t="s">
        <v>493</v>
      </c>
      <c r="B52" s="2" t="s">
        <v>494</v>
      </c>
      <c r="C52" s="3" t="s">
        <v>495</v>
      </c>
      <c r="D52" s="2" t="s">
        <v>2451</v>
      </c>
      <c r="E52" s="2" t="s">
        <v>2455</v>
      </c>
      <c r="F52" s="414" t="str">
        <f ca="1">IF(ID_INDEMN_AÑO1=1,"",IF(ID_INDEMN_AÑO1=2,", Indemnización Valor Factura primeros 2 años",IF(ID_INDEMN_AÑO1=3,"")))</f>
        <v/>
      </c>
      <c r="G52" s="414"/>
    </row>
    <row r="53" spans="1:7">
      <c r="A53" s="342">
        <v>1</v>
      </c>
      <c r="B53" s="32" t="s">
        <v>1635</v>
      </c>
      <c r="C53" s="15">
        <f>A53</f>
        <v>1</v>
      </c>
      <c r="D53" s="21">
        <v>4.4999999999999998E-2</v>
      </c>
      <c r="E53" s="343">
        <v>12</v>
      </c>
    </row>
    <row r="54" spans="1:7">
      <c r="A54" s="342">
        <v>2</v>
      </c>
      <c r="B54" s="32" t="s">
        <v>1636</v>
      </c>
      <c r="C54" s="15">
        <f>A54</f>
        <v>2</v>
      </c>
      <c r="D54" s="21">
        <v>0.125</v>
      </c>
      <c r="E54" s="343">
        <v>24</v>
      </c>
    </row>
    <row r="55" spans="1:7">
      <c r="A55" s="342"/>
      <c r="B55" s="32"/>
      <c r="C55" s="15"/>
      <c r="D55" s="21"/>
    </row>
    <row r="57" spans="1:7">
      <c r="B57" s="1" t="s">
        <v>501</v>
      </c>
    </row>
    <row r="58" spans="1:7">
      <c r="B58" s="16" t="s">
        <v>1647</v>
      </c>
      <c r="C58" s="17">
        <v>4.8300000000000001E-3</v>
      </c>
    </row>
    <row r="59" spans="1:7">
      <c r="B59" s="16" t="s">
        <v>1648</v>
      </c>
      <c r="C59" s="17">
        <v>350</v>
      </c>
    </row>
    <row r="60" spans="1:7">
      <c r="B60" s="16" t="s">
        <v>2198</v>
      </c>
      <c r="C60" s="17">
        <v>487.2</v>
      </c>
    </row>
    <row r="63" spans="1:7">
      <c r="B63" s="417" t="s">
        <v>3302</v>
      </c>
    </row>
    <row r="64" spans="1:7">
      <c r="B64" s="418"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3306</v>
      </c>
    </row>
    <row r="65" spans="1:6">
      <c r="B65" s="418" t="s">
        <v>3301</v>
      </c>
      <c r="C65" t="s">
        <v>3304</v>
      </c>
    </row>
    <row r="66" spans="1:6">
      <c r="B66" s="418" t="s">
        <v>3303</v>
      </c>
      <c r="C66" t="s">
        <v>3305</v>
      </c>
    </row>
    <row r="68" spans="1:6">
      <c r="B68" s="13" t="s">
        <v>1637</v>
      </c>
      <c r="F68" s="561"/>
    </row>
    <row r="69" spans="1:6">
      <c r="A69" s="2" t="s">
        <v>493</v>
      </c>
      <c r="B69" s="2" t="s">
        <v>494</v>
      </c>
      <c r="C69" s="3" t="s">
        <v>495</v>
      </c>
      <c r="D69" s="2" t="s">
        <v>1638</v>
      </c>
      <c r="E69" s="415" t="s">
        <v>3295</v>
      </c>
      <c r="F69" s="562"/>
    </row>
    <row r="70" spans="1:6">
      <c r="A70" s="560">
        <v>1</v>
      </c>
      <c r="B70" s="560" t="s">
        <v>1636</v>
      </c>
      <c r="C70" s="25">
        <f>A70</f>
        <v>1</v>
      </c>
      <c r="D70" t="b">
        <v>1</v>
      </c>
      <c r="E70" s="414" t="str">
        <f ca="1">IF(ID_SERVICIO_PREMIUM=1,"",".")</f>
        <v/>
      </c>
    </row>
    <row r="71" spans="1:6">
      <c r="A71" s="560">
        <v>2</v>
      </c>
      <c r="B71" s="560" t="s">
        <v>1635</v>
      </c>
      <c r="C71" s="25">
        <f>A71</f>
        <v>2</v>
      </c>
      <c r="D71" t="b">
        <v>0</v>
      </c>
    </row>
  </sheetData>
  <mergeCells count="1">
    <mergeCell ref="H37:I37"/>
  </mergeCells>
  <phoneticPr fontId="24"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59" t="s">
        <v>10619</v>
      </c>
      <c r="B1" s="259"/>
      <c r="C1" s="259"/>
      <c r="D1" s="259"/>
      <c r="E1" s="259"/>
      <c r="G1" s="259" t="s">
        <v>10615</v>
      </c>
      <c r="H1" s="259"/>
    </row>
    <row r="2" spans="1:8" ht="15.75" thickTop="1"/>
    <row r="3" spans="1:8">
      <c r="A3" s="453" t="s">
        <v>10609</v>
      </c>
      <c r="B3" s="453" t="s">
        <v>10616</v>
      </c>
      <c r="C3" s="453" t="s">
        <v>10625</v>
      </c>
      <c r="D3" s="453" t="s">
        <v>10615</v>
      </c>
      <c r="E3" s="453" t="s">
        <v>10619</v>
      </c>
      <c r="G3" s="453" t="s">
        <v>10616</v>
      </c>
      <c r="H3" s="453" t="s">
        <v>10617</v>
      </c>
    </row>
    <row r="4" spans="1:8">
      <c r="A4" s="814" t="s">
        <v>10611</v>
      </c>
      <c r="B4" s="814" t="s">
        <v>1694</v>
      </c>
      <c r="C4" s="814" t="s">
        <v>10620</v>
      </c>
      <c r="D4" s="814" t="b">
        <v>0</v>
      </c>
      <c r="E4" s="820">
        <v>0.129</v>
      </c>
      <c r="G4" s="814" t="s">
        <v>1694</v>
      </c>
      <c r="H4" s="452">
        <v>0.3</v>
      </c>
    </row>
    <row r="5" spans="1:8">
      <c r="A5" s="814" t="s">
        <v>10611</v>
      </c>
      <c r="B5" s="814" t="s">
        <v>1694</v>
      </c>
      <c r="C5" s="814" t="s">
        <v>10620</v>
      </c>
      <c r="D5" s="814" t="b">
        <v>1</v>
      </c>
      <c r="E5" s="820">
        <v>0.11990000000000001</v>
      </c>
      <c r="G5" s="814" t="s">
        <v>1695</v>
      </c>
      <c r="H5" s="452">
        <v>0.35</v>
      </c>
    </row>
    <row r="6" spans="1:8">
      <c r="A6" s="814" t="s">
        <v>10611</v>
      </c>
      <c r="B6" s="814" t="s">
        <v>1694</v>
      </c>
      <c r="C6" s="814">
        <v>60</v>
      </c>
      <c r="D6" s="814" t="b">
        <v>0</v>
      </c>
      <c r="E6" s="820">
        <v>0.13200000000000001</v>
      </c>
    </row>
    <row r="7" spans="1:8" s="701" customFormat="1">
      <c r="A7" s="814" t="s">
        <v>10611</v>
      </c>
      <c r="B7" s="814" t="s">
        <v>1694</v>
      </c>
      <c r="C7" s="814">
        <v>60</v>
      </c>
      <c r="D7" s="814" t="b">
        <v>1</v>
      </c>
      <c r="E7" s="820">
        <v>0.125</v>
      </c>
    </row>
    <row r="8" spans="1:8" s="701" customFormat="1">
      <c r="A8" s="814" t="s">
        <v>10611</v>
      </c>
      <c r="B8" s="814" t="s">
        <v>1695</v>
      </c>
      <c r="C8" s="814" t="s">
        <v>10620</v>
      </c>
      <c r="D8" s="814" t="b">
        <v>0</v>
      </c>
      <c r="E8" s="820">
        <v>0.13200000000000001</v>
      </c>
    </row>
    <row r="9" spans="1:8">
      <c r="A9" s="814" t="s">
        <v>10611</v>
      </c>
      <c r="B9" s="814" t="s">
        <v>1695</v>
      </c>
      <c r="C9" s="814" t="s">
        <v>10620</v>
      </c>
      <c r="D9" s="814" t="b">
        <v>1</v>
      </c>
      <c r="E9" s="820">
        <v>0.129</v>
      </c>
    </row>
    <row r="10" spans="1:8">
      <c r="A10" s="814" t="s">
        <v>10611</v>
      </c>
      <c r="B10" s="814" t="s">
        <v>1695</v>
      </c>
      <c r="C10" s="814">
        <v>60</v>
      </c>
      <c r="D10" s="814" t="b">
        <v>0</v>
      </c>
      <c r="E10" s="820">
        <v>0.1399</v>
      </c>
    </row>
    <row r="11" spans="1:8">
      <c r="A11" s="814" t="s">
        <v>10611</v>
      </c>
      <c r="B11" s="814" t="s">
        <v>1695</v>
      </c>
      <c r="C11" s="814">
        <v>60</v>
      </c>
      <c r="D11" s="814" t="b">
        <v>1</v>
      </c>
      <c r="E11" s="820">
        <v>0.13200000000000001</v>
      </c>
    </row>
    <row r="12" spans="1:8">
      <c r="A12" s="814" t="s">
        <v>10612</v>
      </c>
      <c r="B12" s="814" t="s">
        <v>1694</v>
      </c>
      <c r="C12" s="814" t="s">
        <v>10620</v>
      </c>
      <c r="D12" s="814" t="b">
        <v>0</v>
      </c>
      <c r="E12" s="820">
        <v>0.11990000000000001</v>
      </c>
    </row>
    <row r="13" spans="1:8">
      <c r="A13" s="814" t="s">
        <v>10612</v>
      </c>
      <c r="B13" s="814" t="s">
        <v>1694</v>
      </c>
      <c r="C13" s="814" t="s">
        <v>10620</v>
      </c>
      <c r="D13" s="814" t="b">
        <v>1</v>
      </c>
      <c r="E13" s="820">
        <v>0.115</v>
      </c>
    </row>
    <row r="14" spans="1:8">
      <c r="A14" s="814" t="s">
        <v>10612</v>
      </c>
      <c r="B14" s="814" t="s">
        <v>1694</v>
      </c>
      <c r="C14" s="814">
        <v>60</v>
      </c>
      <c r="D14" s="814" t="b">
        <v>0</v>
      </c>
      <c r="E14" s="820">
        <v>0.125</v>
      </c>
    </row>
    <row r="15" spans="1:8">
      <c r="A15" s="814" t="s">
        <v>10612</v>
      </c>
      <c r="B15" s="814" t="s">
        <v>1694</v>
      </c>
      <c r="C15" s="814">
        <v>60</v>
      </c>
      <c r="D15" s="814" t="b">
        <v>1</v>
      </c>
      <c r="E15" s="820">
        <v>0.11990000000000001</v>
      </c>
    </row>
    <row r="16" spans="1:8">
      <c r="A16" s="814" t="s">
        <v>10612</v>
      </c>
      <c r="B16" s="814" t="s">
        <v>1695</v>
      </c>
      <c r="C16" s="814" t="s">
        <v>10620</v>
      </c>
      <c r="D16" s="814" t="b">
        <v>0</v>
      </c>
      <c r="E16" s="820">
        <v>0.11990000000000001</v>
      </c>
    </row>
    <row r="17" spans="1:5">
      <c r="A17" s="814" t="s">
        <v>10612</v>
      </c>
      <c r="B17" s="814" t="s">
        <v>1695</v>
      </c>
      <c r="C17" s="814" t="s">
        <v>10620</v>
      </c>
      <c r="D17" s="814" t="b">
        <v>1</v>
      </c>
      <c r="E17" s="820">
        <v>0.115</v>
      </c>
    </row>
    <row r="18" spans="1:5">
      <c r="A18" s="814" t="s">
        <v>10612</v>
      </c>
      <c r="B18" s="814" t="s">
        <v>1695</v>
      </c>
      <c r="C18" s="814">
        <v>60</v>
      </c>
      <c r="D18" s="814" t="b">
        <v>0</v>
      </c>
      <c r="E18" s="820">
        <v>0.125</v>
      </c>
    </row>
    <row r="19" spans="1:5">
      <c r="A19" s="814" t="s">
        <v>10612</v>
      </c>
      <c r="B19" s="814" t="s">
        <v>1695</v>
      </c>
      <c r="C19" s="814">
        <v>60</v>
      </c>
      <c r="D19" s="814" t="b">
        <v>1</v>
      </c>
      <c r="E19" s="820">
        <v>0.11990000000000001</v>
      </c>
    </row>
  </sheetData>
  <phoneticPr fontId="24"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19"/>
  <sheetViews>
    <sheetView zoomScale="85" zoomScaleNormal="85" workbookViewId="0"/>
    <sheetView workbookViewId="1"/>
  </sheetViews>
  <sheetFormatPr defaultColWidth="9.140625" defaultRowHeight="15"/>
  <cols>
    <col min="1" max="1" width="21.85546875" customWidth="1"/>
    <col min="2" max="2" width="10.2851562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59" t="s">
        <v>10600</v>
      </c>
      <c r="B1" s="259"/>
      <c r="C1" s="259"/>
    </row>
    <row r="2" spans="1:7" s="701" customFormat="1" ht="15.75" thickTop="1">
      <c r="D2"/>
    </row>
    <row r="3" spans="1:7">
      <c r="A3" s="453" t="s">
        <v>10600</v>
      </c>
      <c r="B3" s="453" t="s">
        <v>10603</v>
      </c>
      <c r="E3" s="701" t="s">
        <v>10606</v>
      </c>
      <c r="F3" s="454" t="s">
        <v>10601</v>
      </c>
    </row>
    <row r="4" spans="1:7">
      <c r="A4" s="701" t="s">
        <v>10601</v>
      </c>
      <c r="B4" s="810" t="s">
        <v>10604</v>
      </c>
      <c r="E4" s="451"/>
      <c r="F4" s="451"/>
      <c r="G4" s="451"/>
    </row>
    <row r="5" spans="1:7">
      <c r="A5" s="701" t="s">
        <v>10602</v>
      </c>
      <c r="B5" s="810" t="s">
        <v>10605</v>
      </c>
      <c r="F5" s="451"/>
    </row>
    <row r="6" spans="1:7">
      <c r="F6" s="451"/>
    </row>
    <row r="7" spans="1:7" ht="18" thickBot="1">
      <c r="A7" s="259" t="s">
        <v>10609</v>
      </c>
      <c r="B7" s="259"/>
      <c r="C7" s="259"/>
    </row>
    <row r="8" spans="1:7" ht="15.75" thickTop="1"/>
    <row r="9" spans="1:7">
      <c r="A9" s="453" t="s">
        <v>10609</v>
      </c>
      <c r="B9" s="453" t="s">
        <v>10603</v>
      </c>
      <c r="C9" s="453" t="s">
        <v>3821</v>
      </c>
      <c r="E9" s="701" t="s">
        <v>10613</v>
      </c>
      <c r="F9" s="454" t="s">
        <v>3285</v>
      </c>
    </row>
    <row r="10" spans="1:7">
      <c r="A10" s="810" t="s">
        <v>3285</v>
      </c>
      <c r="B10" s="810" t="s">
        <v>10611</v>
      </c>
      <c r="C10" s="60">
        <v>2.5000000000000001E-2</v>
      </c>
    </row>
    <row r="11" spans="1:7">
      <c r="A11" s="810" t="s">
        <v>10610</v>
      </c>
      <c r="B11" s="810" t="s">
        <v>10612</v>
      </c>
      <c r="C11" s="452">
        <v>0.01</v>
      </c>
    </row>
    <row r="13" spans="1:7" s="701" customFormat="1" ht="18" thickBot="1">
      <c r="A13" s="259" t="s">
        <v>10623</v>
      </c>
      <c r="B13" s="259"/>
      <c r="C13" s="259"/>
      <c r="D13"/>
    </row>
    <row r="14" spans="1:7" s="701" customFormat="1" ht="15.75" thickTop="1">
      <c r="D14"/>
    </row>
    <row r="15" spans="1:7">
      <c r="A15" s="453" t="s">
        <v>10616</v>
      </c>
      <c r="B15" s="453" t="s">
        <v>10609</v>
      </c>
      <c r="C15" s="453" t="s">
        <v>10622</v>
      </c>
    </row>
    <row r="16" spans="1:7">
      <c r="A16" s="819" t="s">
        <v>1694</v>
      </c>
      <c r="B16" s="819" t="s">
        <v>10611</v>
      </c>
      <c r="C16" s="820">
        <v>0.1</v>
      </c>
    </row>
    <row r="17" spans="1:3">
      <c r="A17" s="819" t="s">
        <v>1694</v>
      </c>
      <c r="B17" s="819" t="s">
        <v>10612</v>
      </c>
      <c r="C17" s="820">
        <v>0.15</v>
      </c>
    </row>
    <row r="18" spans="1:3">
      <c r="A18" s="819" t="s">
        <v>1695</v>
      </c>
      <c r="B18" s="819" t="s">
        <v>10611</v>
      </c>
      <c r="C18" s="820">
        <v>0.25</v>
      </c>
    </row>
    <row r="19" spans="1:3">
      <c r="A19" s="819" t="s">
        <v>1695</v>
      </c>
      <c r="B19" s="819" t="s">
        <v>10612</v>
      </c>
      <c r="C19" s="820">
        <v>0.25</v>
      </c>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182"/>
  <sheetViews>
    <sheetView tabSelected="1" topLeftCell="A142" zoomScale="85" zoomScaleNormal="85" workbookViewId="0">
      <selection activeCell="A182" sqref="A182"/>
    </sheetView>
    <sheetView topLeftCell="D148" workbookViewId="1">
      <selection activeCell="D182" sqref="D182"/>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401" t="s">
        <v>3489</v>
      </c>
    </row>
    <row r="3" spans="1:4">
      <c r="A3" t="s">
        <v>1759</v>
      </c>
      <c r="B3" t="s">
        <v>3490</v>
      </c>
      <c r="C3" t="s">
        <v>3491</v>
      </c>
      <c r="D3" t="s">
        <v>3492</v>
      </c>
    </row>
    <row r="4" spans="1:4">
      <c r="A4" s="392">
        <v>41733</v>
      </c>
      <c r="B4" t="s">
        <v>3493</v>
      </c>
      <c r="C4" t="s">
        <v>3494</v>
      </c>
      <c r="D4" t="s">
        <v>3488</v>
      </c>
    </row>
    <row r="5" spans="1:4">
      <c r="A5" s="392">
        <v>41733</v>
      </c>
      <c r="B5" t="s">
        <v>3493</v>
      </c>
      <c r="C5" t="s">
        <v>3494</v>
      </c>
      <c r="D5" t="s">
        <v>3495</v>
      </c>
    </row>
    <row r="6" spans="1:4">
      <c r="A6" s="392">
        <v>41733</v>
      </c>
      <c r="B6" t="s">
        <v>3493</v>
      </c>
      <c r="C6" t="s">
        <v>3494</v>
      </c>
      <c r="D6" t="s">
        <v>3790</v>
      </c>
    </row>
    <row r="7" spans="1:4">
      <c r="A7" s="392">
        <v>41733</v>
      </c>
      <c r="B7" t="s">
        <v>3493</v>
      </c>
      <c r="C7" t="s">
        <v>3494</v>
      </c>
    </row>
    <row r="8" spans="1:4">
      <c r="A8" s="392">
        <v>41733</v>
      </c>
      <c r="B8" t="s">
        <v>3493</v>
      </c>
      <c r="C8" t="s">
        <v>3494</v>
      </c>
    </row>
    <row r="9" spans="1:4">
      <c r="A9" s="392">
        <v>41736</v>
      </c>
      <c r="B9" t="s">
        <v>3841</v>
      </c>
      <c r="C9" t="s">
        <v>3842</v>
      </c>
      <c r="D9" t="s">
        <v>3840</v>
      </c>
    </row>
    <row r="10" spans="1:4">
      <c r="A10" s="392">
        <v>41736</v>
      </c>
      <c r="B10" t="s">
        <v>3841</v>
      </c>
      <c r="C10" t="s">
        <v>3842</v>
      </c>
      <c r="D10" t="s">
        <v>3839</v>
      </c>
    </row>
    <row r="11" spans="1:4">
      <c r="A11" s="392">
        <v>41736</v>
      </c>
      <c r="B11" t="s">
        <v>3841</v>
      </c>
      <c r="C11" t="s">
        <v>3842</v>
      </c>
      <c r="D11" t="s">
        <v>3838</v>
      </c>
    </row>
    <row r="12" spans="1:4">
      <c r="A12" s="392">
        <v>41736</v>
      </c>
      <c r="B12" t="s">
        <v>3841</v>
      </c>
      <c r="C12" t="s">
        <v>3842</v>
      </c>
      <c r="D12" t="s">
        <v>3837</v>
      </c>
    </row>
    <row r="13" spans="1:4">
      <c r="A13" s="392">
        <v>41736</v>
      </c>
      <c r="B13" t="s">
        <v>3841</v>
      </c>
      <c r="C13" t="s">
        <v>3842</v>
      </c>
      <c r="D13" t="s">
        <v>3836</v>
      </c>
    </row>
    <row r="14" spans="1:4">
      <c r="A14" s="392">
        <v>41736</v>
      </c>
      <c r="B14" t="s">
        <v>3841</v>
      </c>
      <c r="C14" t="s">
        <v>3842</v>
      </c>
      <c r="D14" t="s">
        <v>3835</v>
      </c>
    </row>
    <row r="15" spans="1:4">
      <c r="A15" s="392">
        <v>41736</v>
      </c>
      <c r="B15" t="s">
        <v>3841</v>
      </c>
      <c r="C15" t="s">
        <v>3842</v>
      </c>
      <c r="D15" t="s">
        <v>3834</v>
      </c>
    </row>
    <row r="16" spans="1:4">
      <c r="A16" s="392">
        <v>41736</v>
      </c>
      <c r="B16" t="s">
        <v>3841</v>
      </c>
      <c r="C16" t="s">
        <v>3842</v>
      </c>
      <c r="D16" t="s">
        <v>3833</v>
      </c>
    </row>
    <row r="17" spans="1:5">
      <c r="A17" s="392">
        <v>41736</v>
      </c>
      <c r="B17" t="s">
        <v>3841</v>
      </c>
      <c r="C17" t="s">
        <v>3842</v>
      </c>
      <c r="D17" t="s">
        <v>3832</v>
      </c>
    </row>
    <row r="18" spans="1:5">
      <c r="A18" s="392">
        <v>41736</v>
      </c>
      <c r="B18" t="s">
        <v>3841</v>
      </c>
      <c r="C18" t="s">
        <v>3842</v>
      </c>
      <c r="D18" t="s">
        <v>3831</v>
      </c>
    </row>
    <row r="19" spans="1:5">
      <c r="A19" s="392">
        <v>41737</v>
      </c>
      <c r="B19" t="s">
        <v>3841</v>
      </c>
      <c r="C19" t="s">
        <v>3842</v>
      </c>
      <c r="D19" t="s">
        <v>3830</v>
      </c>
    </row>
    <row r="20" spans="1:5">
      <c r="A20" s="392">
        <v>41737</v>
      </c>
      <c r="B20" t="s">
        <v>3841</v>
      </c>
      <c r="C20" t="s">
        <v>3842</v>
      </c>
      <c r="D20" t="s">
        <v>3829</v>
      </c>
      <c r="E20" s="432"/>
    </row>
    <row r="21" spans="1:5">
      <c r="A21" s="392">
        <v>41738</v>
      </c>
      <c r="B21" t="s">
        <v>3841</v>
      </c>
      <c r="C21" t="s">
        <v>3842</v>
      </c>
      <c r="D21" t="s">
        <v>3828</v>
      </c>
    </row>
    <row r="22" spans="1:5">
      <c r="A22" s="392">
        <v>41738</v>
      </c>
      <c r="B22" t="s">
        <v>3841</v>
      </c>
      <c r="C22" t="s">
        <v>3842</v>
      </c>
      <c r="D22" t="s">
        <v>3827</v>
      </c>
    </row>
    <row r="23" spans="1:5">
      <c r="A23" s="392">
        <v>41738</v>
      </c>
      <c r="B23" t="s">
        <v>3841</v>
      </c>
      <c r="C23" t="s">
        <v>3842</v>
      </c>
      <c r="D23" t="s">
        <v>3826</v>
      </c>
    </row>
    <row r="24" spans="1:5">
      <c r="A24" s="392">
        <v>41738</v>
      </c>
      <c r="B24" t="s">
        <v>3841</v>
      </c>
      <c r="C24" t="s">
        <v>3842</v>
      </c>
      <c r="D24" t="s">
        <v>3825</v>
      </c>
    </row>
    <row r="25" spans="1:5">
      <c r="A25" s="392">
        <v>41738</v>
      </c>
      <c r="B25" t="s">
        <v>3841</v>
      </c>
      <c r="C25" t="s">
        <v>3842</v>
      </c>
      <c r="D25" t="s">
        <v>3824</v>
      </c>
    </row>
    <row r="26" spans="1:5">
      <c r="A26" s="392">
        <v>41739</v>
      </c>
      <c r="B26" t="s">
        <v>3841</v>
      </c>
      <c r="C26" t="s">
        <v>3842</v>
      </c>
      <c r="D26" t="s">
        <v>3823</v>
      </c>
    </row>
    <row r="27" spans="1:5">
      <c r="A27" s="392">
        <v>41739</v>
      </c>
      <c r="B27" t="s">
        <v>3844</v>
      </c>
      <c r="C27" t="s">
        <v>3842</v>
      </c>
      <c r="D27" t="s">
        <v>3843</v>
      </c>
    </row>
    <row r="28" spans="1:5">
      <c r="A28" s="392">
        <v>41744</v>
      </c>
      <c r="B28" t="s">
        <v>4276</v>
      </c>
      <c r="C28" t="s">
        <v>4277</v>
      </c>
      <c r="D28" t="s">
        <v>4275</v>
      </c>
    </row>
    <row r="29" spans="1:5">
      <c r="A29" s="392">
        <v>41757</v>
      </c>
      <c r="B29" t="s">
        <v>4276</v>
      </c>
      <c r="C29" t="s">
        <v>4277</v>
      </c>
      <c r="D29" t="s">
        <v>4279</v>
      </c>
    </row>
    <row r="30" spans="1:5">
      <c r="A30" s="392">
        <v>41766</v>
      </c>
      <c r="B30" t="s">
        <v>4276</v>
      </c>
      <c r="C30" t="s">
        <v>4277</v>
      </c>
      <c r="D30" t="s">
        <v>4284</v>
      </c>
    </row>
    <row r="31" spans="1:5">
      <c r="A31" s="392">
        <v>41766</v>
      </c>
      <c r="B31" t="s">
        <v>3493</v>
      </c>
      <c r="C31" t="s">
        <v>3494</v>
      </c>
      <c r="D31" t="s">
        <v>4285</v>
      </c>
    </row>
    <row r="32" spans="1:5">
      <c r="A32" s="392">
        <v>41766</v>
      </c>
      <c r="B32" t="s">
        <v>4276</v>
      </c>
      <c r="C32" t="s">
        <v>4277</v>
      </c>
      <c r="D32" t="s">
        <v>4287</v>
      </c>
    </row>
    <row r="33" spans="1:4">
      <c r="A33" s="392">
        <v>41771</v>
      </c>
      <c r="B33" t="s">
        <v>4276</v>
      </c>
      <c r="C33" t="s">
        <v>4277</v>
      </c>
      <c r="D33" t="s">
        <v>4313</v>
      </c>
    </row>
    <row r="34" spans="1:4">
      <c r="A34" s="392">
        <v>41772</v>
      </c>
      <c r="B34" t="s">
        <v>4276</v>
      </c>
      <c r="C34" t="s">
        <v>4277</v>
      </c>
      <c r="D34" t="s">
        <v>4314</v>
      </c>
    </row>
    <row r="35" spans="1:4">
      <c r="A35" s="392">
        <v>41782</v>
      </c>
      <c r="B35" t="s">
        <v>4316</v>
      </c>
      <c r="C35" t="s">
        <v>4277</v>
      </c>
      <c r="D35" t="s">
        <v>4315</v>
      </c>
    </row>
    <row r="36" spans="1:4">
      <c r="A36" s="392">
        <v>41785</v>
      </c>
      <c r="B36" t="s">
        <v>4316</v>
      </c>
      <c r="C36" t="s">
        <v>4277</v>
      </c>
      <c r="D36" t="s">
        <v>4324</v>
      </c>
    </row>
    <row r="37" spans="1:4">
      <c r="A37" s="392">
        <v>41792</v>
      </c>
      <c r="B37" t="s">
        <v>4316</v>
      </c>
      <c r="C37" t="s">
        <v>4277</v>
      </c>
      <c r="D37" t="s">
        <v>4325</v>
      </c>
    </row>
    <row r="38" spans="1:4">
      <c r="A38" s="392">
        <v>41803</v>
      </c>
      <c r="B38" t="s">
        <v>4316</v>
      </c>
      <c r="C38" t="s">
        <v>4277</v>
      </c>
      <c r="D38" t="s">
        <v>4326</v>
      </c>
    </row>
    <row r="39" spans="1:4">
      <c r="A39" s="392">
        <v>41814</v>
      </c>
      <c r="B39" t="s">
        <v>4316</v>
      </c>
      <c r="C39" t="s">
        <v>4277</v>
      </c>
      <c r="D39" t="s">
        <v>4346</v>
      </c>
    </row>
    <row r="40" spans="1:4">
      <c r="A40" s="392">
        <v>41822</v>
      </c>
      <c r="B40" t="s">
        <v>4276</v>
      </c>
      <c r="C40" t="s">
        <v>4277</v>
      </c>
      <c r="D40" t="s">
        <v>4348</v>
      </c>
    </row>
    <row r="41" spans="1:4">
      <c r="A41" s="392">
        <v>41830</v>
      </c>
      <c r="B41" t="s">
        <v>4276</v>
      </c>
      <c r="C41" t="s">
        <v>4277</v>
      </c>
      <c r="D41" t="s">
        <v>4349</v>
      </c>
    </row>
    <row r="42" spans="1:4">
      <c r="A42" s="392">
        <v>41841</v>
      </c>
      <c r="B42" t="s">
        <v>4276</v>
      </c>
      <c r="C42" t="s">
        <v>4277</v>
      </c>
      <c r="D42" t="s">
        <v>4371</v>
      </c>
    </row>
    <row r="43" spans="1:4">
      <c r="A43" s="392">
        <v>41842</v>
      </c>
      <c r="B43" t="s">
        <v>4373</v>
      </c>
      <c r="C43" t="s">
        <v>4374</v>
      </c>
      <c r="D43" t="s">
        <v>4372</v>
      </c>
    </row>
    <row r="44" spans="1:4">
      <c r="A44" s="392">
        <v>41843</v>
      </c>
      <c r="B44" t="s">
        <v>4276</v>
      </c>
      <c r="C44" t="s">
        <v>4277</v>
      </c>
      <c r="D44" t="s">
        <v>4375</v>
      </c>
    </row>
    <row r="45" spans="1:4">
      <c r="A45" s="392">
        <v>41849</v>
      </c>
      <c r="B45" t="s">
        <v>4373</v>
      </c>
      <c r="C45" t="s">
        <v>4374</v>
      </c>
      <c r="D45" t="s">
        <v>4384</v>
      </c>
    </row>
    <row r="46" spans="1:4">
      <c r="A46" s="392">
        <v>41850</v>
      </c>
      <c r="B46" t="s">
        <v>4276</v>
      </c>
      <c r="C46" t="s">
        <v>4277</v>
      </c>
      <c r="D46" t="s">
        <v>4385</v>
      </c>
    </row>
    <row r="47" spans="1:4">
      <c r="A47" s="392">
        <v>41852</v>
      </c>
      <c r="B47" t="s">
        <v>4276</v>
      </c>
      <c r="C47" t="s">
        <v>4277</v>
      </c>
      <c r="D47" t="s">
        <v>4388</v>
      </c>
    </row>
    <row r="48" spans="1:4">
      <c r="A48" s="392">
        <v>41865</v>
      </c>
      <c r="B48" t="s">
        <v>4316</v>
      </c>
      <c r="C48" t="s">
        <v>4277</v>
      </c>
      <c r="D48" t="s">
        <v>4389</v>
      </c>
    </row>
    <row r="49" spans="1:4">
      <c r="A49" s="392">
        <v>41866</v>
      </c>
      <c r="B49" t="s">
        <v>4373</v>
      </c>
      <c r="C49" t="s">
        <v>4401</v>
      </c>
      <c r="D49" t="s">
        <v>4400</v>
      </c>
    </row>
    <row r="50" spans="1:4">
      <c r="A50" s="392">
        <v>41877</v>
      </c>
      <c r="B50" t="s">
        <v>4452</v>
      </c>
      <c r="C50" t="s">
        <v>4453</v>
      </c>
      <c r="D50" t="s">
        <v>4451</v>
      </c>
    </row>
    <row r="51" spans="1:4">
      <c r="A51" s="392">
        <v>41883</v>
      </c>
      <c r="B51" t="s">
        <v>4452</v>
      </c>
      <c r="C51" t="s">
        <v>4453</v>
      </c>
      <c r="D51" t="s">
        <v>4463</v>
      </c>
    </row>
    <row r="52" spans="1:4">
      <c r="A52" s="392">
        <v>41900</v>
      </c>
      <c r="B52" t="s">
        <v>4452</v>
      </c>
      <c r="C52" t="s">
        <v>4453</v>
      </c>
      <c r="D52" t="s">
        <v>4479</v>
      </c>
    </row>
    <row r="53" spans="1:4">
      <c r="A53" s="392">
        <v>41907</v>
      </c>
      <c r="B53" t="s">
        <v>4452</v>
      </c>
      <c r="C53" t="s">
        <v>4453</v>
      </c>
      <c r="D53" t="s">
        <v>4480</v>
      </c>
    </row>
    <row r="54" spans="1:4">
      <c r="A54" s="392">
        <v>41907</v>
      </c>
      <c r="B54" t="s">
        <v>3841</v>
      </c>
      <c r="C54" t="s">
        <v>3842</v>
      </c>
      <c r="D54" t="s">
        <v>4481</v>
      </c>
    </row>
    <row r="55" spans="1:4">
      <c r="A55" s="392">
        <v>41907</v>
      </c>
      <c r="B55" t="s">
        <v>3841</v>
      </c>
      <c r="C55" t="s">
        <v>3842</v>
      </c>
      <c r="D55" t="s">
        <v>4483</v>
      </c>
    </row>
    <row r="56" spans="1:4">
      <c r="A56" s="392">
        <v>41908</v>
      </c>
      <c r="B56" t="s">
        <v>3841</v>
      </c>
      <c r="C56" t="s">
        <v>3842</v>
      </c>
      <c r="D56" t="s">
        <v>4484</v>
      </c>
    </row>
    <row r="57" spans="1:4">
      <c r="A57" s="392">
        <v>41908</v>
      </c>
      <c r="B57" t="s">
        <v>3841</v>
      </c>
      <c r="C57" t="s">
        <v>3842</v>
      </c>
      <c r="D57" t="s">
        <v>4485</v>
      </c>
    </row>
    <row r="58" spans="1:4">
      <c r="A58" s="392">
        <v>41908</v>
      </c>
      <c r="B58" t="s">
        <v>3841</v>
      </c>
      <c r="C58" t="s">
        <v>3842</v>
      </c>
      <c r="D58" t="s">
        <v>4486</v>
      </c>
    </row>
    <row r="59" spans="1:4">
      <c r="A59" s="392">
        <v>41908</v>
      </c>
      <c r="B59" t="s">
        <v>3841</v>
      </c>
      <c r="C59" t="s">
        <v>3842</v>
      </c>
      <c r="D59" t="s">
        <v>4487</v>
      </c>
    </row>
    <row r="60" spans="1:4" ht="45">
      <c r="A60" s="392">
        <v>41908</v>
      </c>
      <c r="B60" t="s">
        <v>3844</v>
      </c>
      <c r="C60" t="s">
        <v>3842</v>
      </c>
      <c r="D60" s="645" t="s">
        <v>4488</v>
      </c>
    </row>
    <row r="61" spans="1:4">
      <c r="A61" s="392">
        <v>41908</v>
      </c>
      <c r="B61" t="s">
        <v>3844</v>
      </c>
      <c r="C61" t="s">
        <v>3842</v>
      </c>
      <c r="D61" t="s">
        <v>4489</v>
      </c>
    </row>
    <row r="62" spans="1:4">
      <c r="A62" s="392">
        <v>41908</v>
      </c>
      <c r="B62" t="s">
        <v>3844</v>
      </c>
      <c r="C62" t="s">
        <v>3842</v>
      </c>
      <c r="D62" t="s">
        <v>4490</v>
      </c>
    </row>
    <row r="63" spans="1:4">
      <c r="A63" s="392">
        <v>41908</v>
      </c>
      <c r="B63" t="s">
        <v>3844</v>
      </c>
      <c r="C63" t="s">
        <v>3842</v>
      </c>
      <c r="D63" t="s">
        <v>4491</v>
      </c>
    </row>
    <row r="64" spans="1:4" ht="75">
      <c r="A64" s="392">
        <v>41912</v>
      </c>
      <c r="B64" t="s">
        <v>3844</v>
      </c>
      <c r="C64" t="s">
        <v>3842</v>
      </c>
      <c r="D64" s="645" t="s">
        <v>4492</v>
      </c>
    </row>
    <row r="65" spans="1:4" ht="45">
      <c r="A65" s="392">
        <v>41912</v>
      </c>
      <c r="B65" t="s">
        <v>3844</v>
      </c>
      <c r="C65" t="s">
        <v>3842</v>
      </c>
      <c r="D65" s="645" t="s">
        <v>4493</v>
      </c>
    </row>
    <row r="66" spans="1:4">
      <c r="A66" s="392">
        <v>41912</v>
      </c>
      <c r="B66" t="s">
        <v>3844</v>
      </c>
      <c r="C66" t="s">
        <v>3842</v>
      </c>
      <c r="D66" t="s">
        <v>4494</v>
      </c>
    </row>
    <row r="67" spans="1:4">
      <c r="A67" s="392">
        <v>41912</v>
      </c>
      <c r="B67" t="s">
        <v>3844</v>
      </c>
      <c r="C67" t="s">
        <v>3842</v>
      </c>
      <c r="D67" t="s">
        <v>4495</v>
      </c>
    </row>
    <row r="68" spans="1:4">
      <c r="A68" s="392">
        <v>41914</v>
      </c>
      <c r="B68" t="s">
        <v>4452</v>
      </c>
      <c r="C68" t="s">
        <v>4453</v>
      </c>
      <c r="D68" t="s">
        <v>4511</v>
      </c>
    </row>
    <row r="69" spans="1:4">
      <c r="A69" s="392">
        <v>41914</v>
      </c>
      <c r="B69" t="s">
        <v>4452</v>
      </c>
      <c r="C69" t="s">
        <v>4453</v>
      </c>
      <c r="D69" t="s">
        <v>4512</v>
      </c>
    </row>
    <row r="70" spans="1:4">
      <c r="A70" s="392">
        <v>41920</v>
      </c>
      <c r="B70" t="s">
        <v>3841</v>
      </c>
      <c r="C70" t="s">
        <v>3842</v>
      </c>
      <c r="D70" t="s">
        <v>4513</v>
      </c>
    </row>
    <row r="71" spans="1:4">
      <c r="A71" s="392">
        <v>41920</v>
      </c>
      <c r="B71" t="s">
        <v>3841</v>
      </c>
      <c r="C71" t="s">
        <v>3842</v>
      </c>
      <c r="D71" t="s">
        <v>4514</v>
      </c>
    </row>
    <row r="72" spans="1:4">
      <c r="A72" s="392">
        <v>41920</v>
      </c>
      <c r="B72" t="s">
        <v>3841</v>
      </c>
      <c r="C72" t="s">
        <v>3842</v>
      </c>
      <c r="D72" t="s">
        <v>4519</v>
      </c>
    </row>
    <row r="73" spans="1:4">
      <c r="A73" s="392">
        <v>41948</v>
      </c>
      <c r="B73" t="s">
        <v>4276</v>
      </c>
      <c r="C73" t="s">
        <v>4277</v>
      </c>
      <c r="D73" t="s">
        <v>4520</v>
      </c>
    </row>
    <row r="74" spans="1:4">
      <c r="A74" s="392">
        <v>41950</v>
      </c>
      <c r="B74" t="s">
        <v>4452</v>
      </c>
      <c r="C74" t="s">
        <v>4453</v>
      </c>
      <c r="D74" t="s">
        <v>4540</v>
      </c>
    </row>
    <row r="75" spans="1:4">
      <c r="A75" s="392">
        <v>41950</v>
      </c>
      <c r="B75" t="s">
        <v>4452</v>
      </c>
      <c r="C75" t="s">
        <v>4453</v>
      </c>
      <c r="D75" t="s">
        <v>4541</v>
      </c>
    </row>
    <row r="76" spans="1:4">
      <c r="A76" s="392">
        <v>42012</v>
      </c>
      <c r="B76" t="s">
        <v>4316</v>
      </c>
      <c r="C76" t="s">
        <v>4277</v>
      </c>
      <c r="D76" t="s">
        <v>4542</v>
      </c>
    </row>
    <row r="77" spans="1:4">
      <c r="A77" s="392">
        <v>42013</v>
      </c>
      <c r="B77" t="s">
        <v>4452</v>
      </c>
      <c r="C77" t="s">
        <v>4453</v>
      </c>
      <c r="D77" t="s">
        <v>5057</v>
      </c>
    </row>
    <row r="78" spans="1:4">
      <c r="A78" s="392">
        <v>42013</v>
      </c>
      <c r="B78" t="s">
        <v>4452</v>
      </c>
      <c r="C78" t="s">
        <v>4453</v>
      </c>
      <c r="D78" t="s">
        <v>5058</v>
      </c>
    </row>
    <row r="79" spans="1:4">
      <c r="A79" s="392">
        <v>42013</v>
      </c>
      <c r="B79" t="s">
        <v>4316</v>
      </c>
      <c r="C79" t="s">
        <v>4277</v>
      </c>
      <c r="D79" t="s">
        <v>5059</v>
      </c>
    </row>
    <row r="80" spans="1:4">
      <c r="A80" s="392">
        <v>42016</v>
      </c>
      <c r="B80" t="s">
        <v>4373</v>
      </c>
      <c r="C80" t="s">
        <v>4401</v>
      </c>
      <c r="D80" t="s">
        <v>5061</v>
      </c>
    </row>
    <row r="81" spans="1:4">
      <c r="A81" s="392">
        <v>42024</v>
      </c>
      <c r="B81" t="s">
        <v>4452</v>
      </c>
      <c r="C81" t="s">
        <v>4453</v>
      </c>
      <c r="D81" t="s">
        <v>5073</v>
      </c>
    </row>
    <row r="82" spans="1:4">
      <c r="A82" s="392">
        <v>42024</v>
      </c>
      <c r="B82" t="s">
        <v>4452</v>
      </c>
      <c r="C82" t="s">
        <v>4453</v>
      </c>
      <c r="D82" t="s">
        <v>5074</v>
      </c>
    </row>
    <row r="83" spans="1:4">
      <c r="A83" s="392">
        <v>42025</v>
      </c>
      <c r="B83" t="s">
        <v>4316</v>
      </c>
      <c r="C83" t="s">
        <v>4277</v>
      </c>
      <c r="D83" t="s">
        <v>5075</v>
      </c>
    </row>
    <row r="84" spans="1:4">
      <c r="A84" s="392">
        <v>42041</v>
      </c>
      <c r="B84" t="s">
        <v>4452</v>
      </c>
      <c r="C84" t="s">
        <v>4453</v>
      </c>
      <c r="D84" t="s">
        <v>5077</v>
      </c>
    </row>
    <row r="85" spans="1:4">
      <c r="A85" s="392">
        <v>42041</v>
      </c>
      <c r="B85" t="s">
        <v>4276</v>
      </c>
      <c r="C85" t="s">
        <v>5083</v>
      </c>
      <c r="D85" t="s">
        <v>5082</v>
      </c>
    </row>
    <row r="86" spans="1:4">
      <c r="A86" s="392">
        <v>42041</v>
      </c>
      <c r="B86" t="s">
        <v>4276</v>
      </c>
      <c r="C86" t="s">
        <v>5083</v>
      </c>
      <c r="D86" t="s">
        <v>5084</v>
      </c>
    </row>
    <row r="87" spans="1:4">
      <c r="A87">
        <v>42046</v>
      </c>
      <c r="B87" t="s">
        <v>4373</v>
      </c>
      <c r="C87" t="s">
        <v>4401</v>
      </c>
      <c r="D87" t="s">
        <v>5104</v>
      </c>
    </row>
    <row r="88" spans="1:4">
      <c r="A88">
        <v>42048</v>
      </c>
      <c r="B88" t="s">
        <v>4373</v>
      </c>
      <c r="C88" t="s">
        <v>4401</v>
      </c>
      <c r="D88" t="s">
        <v>5105</v>
      </c>
    </row>
    <row r="89" spans="1:4">
      <c r="A89">
        <v>42048</v>
      </c>
      <c r="B89" t="s">
        <v>4373</v>
      </c>
      <c r="C89" t="s">
        <v>4401</v>
      </c>
      <c r="D89" t="s">
        <v>5106</v>
      </c>
    </row>
    <row r="90" spans="1:4">
      <c r="A90">
        <v>42048</v>
      </c>
      <c r="B90" t="s">
        <v>4373</v>
      </c>
      <c r="C90" t="s">
        <v>4401</v>
      </c>
      <c r="D90" t="s">
        <v>5107</v>
      </c>
    </row>
    <row r="91" spans="1:4">
      <c r="A91">
        <v>42048</v>
      </c>
      <c r="B91" t="s">
        <v>4373</v>
      </c>
      <c r="C91" t="s">
        <v>4401</v>
      </c>
      <c r="D91" t="s">
        <v>5108</v>
      </c>
    </row>
    <row r="92" spans="1:4">
      <c r="A92">
        <v>42048</v>
      </c>
      <c r="B92" t="s">
        <v>4373</v>
      </c>
      <c r="C92" t="s">
        <v>4401</v>
      </c>
      <c r="D92" t="s">
        <v>5109</v>
      </c>
    </row>
    <row r="93" spans="1:4">
      <c r="A93">
        <v>42051</v>
      </c>
      <c r="B93" t="s">
        <v>4373</v>
      </c>
      <c r="C93" t="s">
        <v>4401</v>
      </c>
      <c r="D93" t="s">
        <v>5110</v>
      </c>
    </row>
    <row r="94" spans="1:4">
      <c r="A94">
        <v>42052</v>
      </c>
      <c r="B94" t="s">
        <v>4373</v>
      </c>
      <c r="C94" t="s">
        <v>4401</v>
      </c>
      <c r="D94" t="s">
        <v>5111</v>
      </c>
    </row>
    <row r="95" spans="1:4">
      <c r="A95" s="392">
        <v>42058</v>
      </c>
      <c r="B95" t="s">
        <v>4276</v>
      </c>
      <c r="C95" t="s">
        <v>5083</v>
      </c>
      <c r="D95" t="s">
        <v>5112</v>
      </c>
    </row>
    <row r="96" spans="1:4">
      <c r="A96" s="392">
        <v>42067</v>
      </c>
      <c r="B96" t="s">
        <v>4276</v>
      </c>
      <c r="C96" t="s">
        <v>5083</v>
      </c>
      <c r="D96" t="s">
        <v>5119</v>
      </c>
    </row>
    <row r="97" spans="1:4">
      <c r="A97" s="392">
        <v>42069</v>
      </c>
      <c r="B97" t="s">
        <v>4276</v>
      </c>
      <c r="C97" t="s">
        <v>5083</v>
      </c>
      <c r="D97" t="s">
        <v>5121</v>
      </c>
    </row>
    <row r="98" spans="1:4">
      <c r="A98" s="392">
        <v>42072</v>
      </c>
      <c r="B98" t="s">
        <v>4276</v>
      </c>
      <c r="C98" t="s">
        <v>5083</v>
      </c>
      <c r="D98" t="s">
        <v>5122</v>
      </c>
    </row>
    <row r="99" spans="1:4">
      <c r="A99" s="392">
        <v>42072</v>
      </c>
      <c r="B99" t="s">
        <v>4276</v>
      </c>
      <c r="C99" t="s">
        <v>5083</v>
      </c>
      <c r="D99" t="s">
        <v>5123</v>
      </c>
    </row>
    <row r="100" spans="1:4">
      <c r="A100" s="392">
        <v>42073</v>
      </c>
      <c r="B100" t="s">
        <v>4373</v>
      </c>
      <c r="C100" t="s">
        <v>4401</v>
      </c>
      <c r="D100" t="s">
        <v>5124</v>
      </c>
    </row>
    <row r="101" spans="1:4">
      <c r="A101" s="392">
        <v>42073</v>
      </c>
      <c r="B101" t="s">
        <v>4373</v>
      </c>
      <c r="C101" t="s">
        <v>4401</v>
      </c>
      <c r="D101" t="s">
        <v>5125</v>
      </c>
    </row>
    <row r="102" spans="1:4">
      <c r="A102" s="392">
        <v>42073</v>
      </c>
      <c r="B102" t="s">
        <v>4373</v>
      </c>
      <c r="C102" t="s">
        <v>4401</v>
      </c>
      <c r="D102" t="s">
        <v>5127</v>
      </c>
    </row>
    <row r="103" spans="1:4">
      <c r="A103" s="392">
        <v>42075</v>
      </c>
      <c r="B103" t="s">
        <v>4452</v>
      </c>
      <c r="C103" t="s">
        <v>4453</v>
      </c>
      <c r="D103" t="s">
        <v>5128</v>
      </c>
    </row>
    <row r="104" spans="1:4">
      <c r="A104" s="392">
        <v>42076</v>
      </c>
      <c r="B104" t="s">
        <v>4452</v>
      </c>
      <c r="C104" t="s">
        <v>4453</v>
      </c>
      <c r="D104" t="s">
        <v>5165</v>
      </c>
    </row>
    <row r="105" spans="1:4">
      <c r="A105" s="392">
        <v>42081</v>
      </c>
      <c r="B105" t="s">
        <v>4452</v>
      </c>
      <c r="C105" t="s">
        <v>4453</v>
      </c>
      <c r="D105" t="s">
        <v>5166</v>
      </c>
    </row>
    <row r="106" spans="1:4">
      <c r="A106" s="392">
        <v>42130</v>
      </c>
      <c r="B106" t="s">
        <v>4373</v>
      </c>
      <c r="C106" t="s">
        <v>4401</v>
      </c>
      <c r="D106" t="s">
        <v>10365</v>
      </c>
    </row>
    <row r="107" spans="1:4">
      <c r="A107" s="392">
        <v>42130</v>
      </c>
      <c r="B107" t="s">
        <v>4373</v>
      </c>
      <c r="C107" t="s">
        <v>4401</v>
      </c>
      <c r="D107" s="701" t="s">
        <v>10366</v>
      </c>
    </row>
    <row r="108" spans="1:4" ht="45">
      <c r="A108" s="392">
        <v>42130</v>
      </c>
      <c r="B108" s="701" t="s">
        <v>3841</v>
      </c>
      <c r="C108" s="701" t="s">
        <v>3842</v>
      </c>
      <c r="D108" s="645" t="s">
        <v>10367</v>
      </c>
    </row>
    <row r="109" spans="1:4" ht="45">
      <c r="A109" s="392">
        <v>42130</v>
      </c>
      <c r="B109" s="701" t="s">
        <v>3841</v>
      </c>
      <c r="C109" s="701" t="s">
        <v>3842</v>
      </c>
      <c r="D109" s="645" t="s">
        <v>10368</v>
      </c>
    </row>
    <row r="110" spans="1:4" ht="45">
      <c r="A110" s="392">
        <v>42130</v>
      </c>
      <c r="B110" s="701" t="s">
        <v>4316</v>
      </c>
      <c r="C110" s="701" t="s">
        <v>5083</v>
      </c>
      <c r="D110" s="645" t="s">
        <v>10367</v>
      </c>
    </row>
    <row r="111" spans="1:4">
      <c r="A111" s="392">
        <v>42130</v>
      </c>
      <c r="B111" t="s">
        <v>4373</v>
      </c>
      <c r="C111" t="s">
        <v>4401</v>
      </c>
      <c r="D111" t="s">
        <v>10369</v>
      </c>
    </row>
    <row r="112" spans="1:4">
      <c r="A112" s="392">
        <v>42131</v>
      </c>
      <c r="B112" t="s">
        <v>4373</v>
      </c>
      <c r="C112" t="s">
        <v>4401</v>
      </c>
      <c r="D112" t="s">
        <v>10370</v>
      </c>
    </row>
    <row r="113" spans="1:4">
      <c r="A113" s="392">
        <v>42131</v>
      </c>
      <c r="B113" t="s">
        <v>4373</v>
      </c>
      <c r="C113" t="s">
        <v>4401</v>
      </c>
      <c r="D113" t="s">
        <v>10371</v>
      </c>
    </row>
    <row r="114" spans="1:4">
      <c r="A114" s="392">
        <v>42136</v>
      </c>
      <c r="B114" s="701" t="s">
        <v>4276</v>
      </c>
      <c r="C114" s="701" t="s">
        <v>5083</v>
      </c>
      <c r="D114" s="701" t="s">
        <v>10372</v>
      </c>
    </row>
    <row r="115" spans="1:4">
      <c r="A115" s="392">
        <v>42136</v>
      </c>
      <c r="B115" t="s">
        <v>4373</v>
      </c>
      <c r="C115" t="s">
        <v>4401</v>
      </c>
      <c r="D115" t="s">
        <v>10373</v>
      </c>
    </row>
    <row r="116" spans="1:4">
      <c r="A116" s="392">
        <v>42137</v>
      </c>
      <c r="B116" s="701" t="s">
        <v>4276</v>
      </c>
      <c r="C116" s="701" t="s">
        <v>5083</v>
      </c>
      <c r="D116" s="701" t="s">
        <v>10374</v>
      </c>
    </row>
    <row r="117" spans="1:4">
      <c r="A117" s="392">
        <v>42137</v>
      </c>
      <c r="B117" t="s">
        <v>4373</v>
      </c>
      <c r="C117" t="s">
        <v>4401</v>
      </c>
      <c r="D117" t="s">
        <v>10375</v>
      </c>
    </row>
    <row r="118" spans="1:4">
      <c r="A118" s="392">
        <v>42142</v>
      </c>
      <c r="B118" t="s">
        <v>4373</v>
      </c>
      <c r="C118" t="s">
        <v>4401</v>
      </c>
      <c r="D118" s="701" t="s">
        <v>10377</v>
      </c>
    </row>
    <row r="119" spans="1:4">
      <c r="A119" s="392">
        <v>42143</v>
      </c>
      <c r="B119" t="s">
        <v>4373</v>
      </c>
      <c r="C119" t="s">
        <v>4401</v>
      </c>
      <c r="D119" t="s">
        <v>10376</v>
      </c>
    </row>
    <row r="120" spans="1:4">
      <c r="A120" s="392">
        <v>42145</v>
      </c>
      <c r="B120" s="701" t="s">
        <v>4276</v>
      </c>
      <c r="C120" s="701" t="s">
        <v>5083</v>
      </c>
      <c r="D120" s="701" t="s">
        <v>10378</v>
      </c>
    </row>
    <row r="121" spans="1:4">
      <c r="A121" s="392">
        <v>42145</v>
      </c>
      <c r="B121" t="s">
        <v>4373</v>
      </c>
      <c r="C121" t="s">
        <v>4401</v>
      </c>
      <c r="D121" t="s">
        <v>10379</v>
      </c>
    </row>
    <row r="122" spans="1:4">
      <c r="A122" s="392">
        <v>42145</v>
      </c>
      <c r="B122" t="s">
        <v>4373</v>
      </c>
      <c r="C122" t="s">
        <v>4401</v>
      </c>
      <c r="D122" t="s">
        <v>10392</v>
      </c>
    </row>
    <row r="123" spans="1:4">
      <c r="A123" s="392">
        <v>42145</v>
      </c>
      <c r="B123" t="s">
        <v>4373</v>
      </c>
      <c r="C123" t="s">
        <v>4401</v>
      </c>
      <c r="D123" t="s">
        <v>10393</v>
      </c>
    </row>
    <row r="124" spans="1:4">
      <c r="A124" s="392">
        <v>42152</v>
      </c>
      <c r="B124" t="s">
        <v>4373</v>
      </c>
      <c r="C124" t="s">
        <v>4401</v>
      </c>
      <c r="D124" t="s">
        <v>10395</v>
      </c>
    </row>
    <row r="125" spans="1:4" ht="90">
      <c r="A125" s="392">
        <v>42156</v>
      </c>
      <c r="B125" t="s">
        <v>4373</v>
      </c>
      <c r="C125" t="s">
        <v>4401</v>
      </c>
      <c r="D125" s="645" t="s">
        <v>10396</v>
      </c>
    </row>
    <row r="126" spans="1:4">
      <c r="A126" s="392">
        <v>42156</v>
      </c>
      <c r="B126" t="s">
        <v>4373</v>
      </c>
      <c r="C126" t="s">
        <v>4401</v>
      </c>
      <c r="D126" t="s">
        <v>10398</v>
      </c>
    </row>
    <row r="127" spans="1:4">
      <c r="A127" s="392">
        <v>42157</v>
      </c>
      <c r="B127" t="s">
        <v>4373</v>
      </c>
      <c r="C127" t="s">
        <v>4401</v>
      </c>
      <c r="D127" t="s">
        <v>10397</v>
      </c>
    </row>
    <row r="128" spans="1:4">
      <c r="A128" s="392">
        <v>42158</v>
      </c>
      <c r="B128" t="s">
        <v>4452</v>
      </c>
      <c r="C128" t="s">
        <v>4453</v>
      </c>
      <c r="D128" t="s">
        <v>10495</v>
      </c>
    </row>
    <row r="129" spans="1:4">
      <c r="A129" s="392">
        <v>42165</v>
      </c>
      <c r="B129" t="s">
        <v>4452</v>
      </c>
      <c r="C129" t="s">
        <v>4453</v>
      </c>
      <c r="D129" t="s">
        <v>10512</v>
      </c>
    </row>
    <row r="130" spans="1:4">
      <c r="A130" s="392">
        <v>42165</v>
      </c>
      <c r="B130" t="s">
        <v>4373</v>
      </c>
      <c r="C130" t="s">
        <v>4401</v>
      </c>
      <c r="D130" t="s">
        <v>10513</v>
      </c>
    </row>
    <row r="131" spans="1:4">
      <c r="A131" s="392">
        <v>42166</v>
      </c>
      <c r="B131" t="s">
        <v>4452</v>
      </c>
      <c r="C131" t="s">
        <v>4453</v>
      </c>
      <c r="D131" t="s">
        <v>10520</v>
      </c>
    </row>
    <row r="132" spans="1:4">
      <c r="A132" s="392">
        <v>42172</v>
      </c>
      <c r="B132" s="701" t="s">
        <v>4276</v>
      </c>
      <c r="C132" s="701" t="s">
        <v>5083</v>
      </c>
      <c r="D132" s="701" t="s">
        <v>10521</v>
      </c>
    </row>
    <row r="133" spans="1:4" ht="45">
      <c r="A133" s="392">
        <v>42177</v>
      </c>
      <c r="B133" s="701" t="s">
        <v>3841</v>
      </c>
      <c r="C133" s="701" t="s">
        <v>3842</v>
      </c>
      <c r="D133" s="645" t="s">
        <v>10528</v>
      </c>
    </row>
    <row r="134" spans="1:4" ht="180">
      <c r="A134" s="392">
        <v>42178</v>
      </c>
      <c r="B134" s="701" t="s">
        <v>3841</v>
      </c>
      <c r="C134" s="701" t="s">
        <v>3842</v>
      </c>
      <c r="D134" s="645" t="s">
        <v>10530</v>
      </c>
    </row>
    <row r="135" spans="1:4">
      <c r="A135" s="392">
        <v>42178</v>
      </c>
      <c r="B135" s="701" t="s">
        <v>3841</v>
      </c>
      <c r="C135" s="701" t="s">
        <v>3842</v>
      </c>
      <c r="D135" s="701" t="s">
        <v>10531</v>
      </c>
    </row>
    <row r="136" spans="1:4">
      <c r="A136" s="392">
        <v>42178</v>
      </c>
      <c r="B136" s="701" t="s">
        <v>3841</v>
      </c>
      <c r="C136" s="701" t="s">
        <v>3842</v>
      </c>
      <c r="D136" s="701" t="s">
        <v>10532</v>
      </c>
    </row>
    <row r="137" spans="1:4">
      <c r="A137" s="392">
        <v>42181</v>
      </c>
      <c r="B137" s="701" t="s">
        <v>4316</v>
      </c>
      <c r="C137" s="701" t="s">
        <v>5083</v>
      </c>
      <c r="D137" s="701" t="s">
        <v>10533</v>
      </c>
    </row>
    <row r="138" spans="1:4">
      <c r="A138" s="392">
        <v>42181</v>
      </c>
      <c r="B138" s="701" t="s">
        <v>4316</v>
      </c>
      <c r="C138" s="701" t="s">
        <v>5083</v>
      </c>
      <c r="D138" s="701" t="s">
        <v>10535</v>
      </c>
    </row>
    <row r="139" spans="1:4">
      <c r="A139" s="392">
        <v>42181</v>
      </c>
      <c r="B139" t="s">
        <v>4373</v>
      </c>
      <c r="C139" t="s">
        <v>4401</v>
      </c>
      <c r="D139" t="s">
        <v>10536</v>
      </c>
    </row>
    <row r="140" spans="1:4">
      <c r="A140" s="392">
        <v>42181</v>
      </c>
      <c r="B140" t="s">
        <v>4373</v>
      </c>
      <c r="C140" t="s">
        <v>4401</v>
      </c>
      <c r="D140" t="s">
        <v>10537</v>
      </c>
    </row>
    <row r="141" spans="1:4">
      <c r="A141" s="392">
        <v>42184</v>
      </c>
      <c r="B141" s="701" t="s">
        <v>3841</v>
      </c>
      <c r="C141" s="701" t="s">
        <v>3842</v>
      </c>
      <c r="D141" s="701" t="s">
        <v>10538</v>
      </c>
    </row>
    <row r="142" spans="1:4">
      <c r="A142" s="392">
        <v>42184</v>
      </c>
      <c r="B142" s="701" t="s">
        <v>3841</v>
      </c>
      <c r="C142" s="701" t="s">
        <v>3842</v>
      </c>
      <c r="D142" s="701" t="s">
        <v>10539</v>
      </c>
    </row>
    <row r="143" spans="1:4">
      <c r="A143" s="392">
        <v>42184</v>
      </c>
      <c r="B143" s="701" t="s">
        <v>3841</v>
      </c>
      <c r="C143" s="701" t="s">
        <v>3842</v>
      </c>
      <c r="D143" s="701" t="s">
        <v>10540</v>
      </c>
    </row>
    <row r="144" spans="1:4">
      <c r="A144" s="392">
        <v>42184</v>
      </c>
      <c r="B144" s="701" t="s">
        <v>3841</v>
      </c>
      <c r="C144" s="701" t="s">
        <v>3842</v>
      </c>
      <c r="D144" s="701" t="s">
        <v>10541</v>
      </c>
    </row>
    <row r="145" spans="1:4">
      <c r="A145" s="392">
        <v>42261</v>
      </c>
      <c r="B145" s="701" t="s">
        <v>3841</v>
      </c>
      <c r="C145" s="701" t="s">
        <v>3842</v>
      </c>
      <c r="D145" s="701" t="s">
        <v>10542</v>
      </c>
    </row>
    <row r="146" spans="1:4">
      <c r="A146" s="392">
        <v>42262</v>
      </c>
      <c r="B146" s="701" t="s">
        <v>3841</v>
      </c>
      <c r="C146" s="701" t="s">
        <v>3842</v>
      </c>
      <c r="D146" s="701" t="s">
        <v>10577</v>
      </c>
    </row>
    <row r="147" spans="1:4">
      <c r="A147" s="392">
        <v>42264</v>
      </c>
      <c r="B147" s="701" t="s">
        <v>3841</v>
      </c>
      <c r="C147" s="701" t="s">
        <v>3842</v>
      </c>
      <c r="D147" s="701" t="s">
        <v>10578</v>
      </c>
    </row>
    <row r="148" spans="1:4">
      <c r="A148" s="392">
        <v>42264</v>
      </c>
      <c r="B148" s="701" t="s">
        <v>3841</v>
      </c>
      <c r="C148" s="701" t="s">
        <v>3842</v>
      </c>
      <c r="D148" s="701" t="s">
        <v>10579</v>
      </c>
    </row>
    <row r="149" spans="1:4">
      <c r="A149" s="392">
        <v>42265</v>
      </c>
      <c r="B149" s="701" t="s">
        <v>3841</v>
      </c>
      <c r="C149" s="701" t="s">
        <v>3842</v>
      </c>
      <c r="D149" s="701" t="s">
        <v>10580</v>
      </c>
    </row>
    <row r="150" spans="1:4">
      <c r="A150" s="392">
        <v>42265</v>
      </c>
      <c r="B150" s="701" t="s">
        <v>3841</v>
      </c>
      <c r="C150" s="701" t="s">
        <v>3842</v>
      </c>
      <c r="D150" s="701" t="s">
        <v>10581</v>
      </c>
    </row>
    <row r="151" spans="1:4">
      <c r="A151" s="392">
        <v>42265</v>
      </c>
      <c r="B151" s="701" t="s">
        <v>3841</v>
      </c>
      <c r="C151" s="701" t="s">
        <v>3842</v>
      </c>
      <c r="D151" s="701" t="s">
        <v>10582</v>
      </c>
    </row>
    <row r="152" spans="1:4">
      <c r="A152" s="809">
        <v>42265</v>
      </c>
      <c r="B152" s="402" t="s">
        <v>3841</v>
      </c>
      <c r="C152" s="402" t="s">
        <v>3842</v>
      </c>
      <c r="D152" s="402" t="s">
        <v>10585</v>
      </c>
    </row>
    <row r="154" spans="1:4">
      <c r="D154" s="401" t="s">
        <v>10599</v>
      </c>
    </row>
    <row r="156" spans="1:4">
      <c r="A156" s="811"/>
      <c r="B156" s="811"/>
      <c r="C156" s="812">
        <v>1</v>
      </c>
      <c r="D156" s="813" t="s">
        <v>10589</v>
      </c>
    </row>
    <row r="157" spans="1:4">
      <c r="D157" t="s">
        <v>10588</v>
      </c>
    </row>
    <row r="158" spans="1:4">
      <c r="D158" t="s">
        <v>10587</v>
      </c>
    </row>
    <row r="159" spans="1:4">
      <c r="D159" s="701"/>
    </row>
    <row r="160" spans="1:4">
      <c r="A160" s="811"/>
      <c r="B160" s="811"/>
      <c r="C160" s="812">
        <v>2</v>
      </c>
      <c r="D160" s="813" t="s">
        <v>10586</v>
      </c>
    </row>
    <row r="161" spans="1:4">
      <c r="D161" s="701" t="s">
        <v>10591</v>
      </c>
    </row>
    <row r="162" spans="1:4">
      <c r="D162" s="411" t="s">
        <v>10597</v>
      </c>
    </row>
    <row r="164" spans="1:4">
      <c r="A164" s="811"/>
      <c r="B164" s="811"/>
      <c r="C164" s="812">
        <v>3</v>
      </c>
      <c r="D164" s="813" t="s">
        <v>10593</v>
      </c>
    </row>
    <row r="165" spans="1:4">
      <c r="D165" s="411" t="s">
        <v>10594</v>
      </c>
    </row>
    <row r="167" spans="1:4">
      <c r="A167" s="811"/>
      <c r="B167" s="811"/>
      <c r="C167" s="812">
        <v>4</v>
      </c>
      <c r="D167" s="813" t="s">
        <v>10595</v>
      </c>
    </row>
    <row r="168" spans="1:4">
      <c r="D168" s="411" t="s">
        <v>10598</v>
      </c>
    </row>
    <row r="169" spans="1:4">
      <c r="D169" s="411" t="s">
        <v>10596</v>
      </c>
    </row>
    <row r="171" spans="1:4">
      <c r="A171" s="809">
        <v>42272</v>
      </c>
      <c r="B171" s="402" t="s">
        <v>3841</v>
      </c>
      <c r="C171" s="402" t="s">
        <v>3842</v>
      </c>
      <c r="D171" s="402" t="s">
        <v>10607</v>
      </c>
    </row>
    <row r="172" spans="1:4">
      <c r="D172" s="701" t="s">
        <v>10608</v>
      </c>
    </row>
    <row r="173" spans="1:4">
      <c r="D173" s="701" t="s">
        <v>10614</v>
      </c>
    </row>
    <row r="174" spans="1:4">
      <c r="D174" s="701" t="s">
        <v>10621</v>
      </c>
    </row>
    <row r="175" spans="1:4">
      <c r="D175" s="701" t="s">
        <v>10624</v>
      </c>
    </row>
    <row r="176" spans="1:4">
      <c r="D176" s="701" t="s">
        <v>10627</v>
      </c>
    </row>
    <row r="177" spans="4:4">
      <c r="D177" s="701" t="s">
        <v>10628</v>
      </c>
    </row>
    <row r="178" spans="4:4">
      <c r="D178" s="701" t="s">
        <v>10630</v>
      </c>
    </row>
    <row r="179" spans="4:4">
      <c r="D179" s="701" t="s">
        <v>10631</v>
      </c>
    </row>
    <row r="180" spans="4:4">
      <c r="D180" s="701" t="s">
        <v>10633</v>
      </c>
    </row>
    <row r="181" spans="4:4">
      <c r="D181" s="701" t="s">
        <v>10634</v>
      </c>
    </row>
    <row r="182" spans="4:4">
      <c r="D182" s="701" t="s">
        <v>10654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630</vt:i4>
      </vt:variant>
    </vt:vector>
  </HeadingPairs>
  <TitlesOfParts>
    <vt:vector size="653"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C.TipoCliente</vt:lpstr>
      <vt:lpstr>LogDeCierres</vt:lpstr>
      <vt:lpstr>_3.5T</vt:lpstr>
      <vt:lpstr>T_AutoYSeguroMulti!_Abono_Anticipado</vt:lpstr>
      <vt:lpstr>T_Merger!_Abono_Anticipado</vt:lpstr>
      <vt:lpstr>T_SeguroAnual!_Abono_Anticipado</vt:lpstr>
      <vt:lpstr>T_Merger!_Abono_Opcion_1</vt:lpstr>
      <vt:lpstr>T_Merger!_Abono_Opcion_2</vt:lpstr>
      <vt:lpstr>T_Merger!_Abono_Opcion_3</vt:lpstr>
      <vt:lpstr>T_AutoYSeguroMulti!_Abono_Sobrante</vt:lpstr>
      <vt:lpstr>T_SeguroAnual!_Abono_Sobrante</vt:lpstr>
      <vt:lpstr>T_AutoYSeguroMulti!_Abono_Sobrante_Ciclo_Anterior</vt:lpstr>
      <vt:lpstr>T_SeguroAnual!_Abono_Sobrante_Ciclo_Anterior</vt:lpstr>
      <vt:lpstr>CAT!_Actual</vt:lpstr>
      <vt:lpstr>T_AutoYSeguroMulti!_Actual</vt:lpstr>
      <vt:lpstr>T_Merger!_Actual</vt:lpstr>
      <vt:lpstr>T_SeguroAnual!_Actual</vt:lpstr>
      <vt:lpstr>T_SoloAuto!_Actual</vt:lpstr>
      <vt:lpstr>T_VidaAnual!_Actual</vt:lpstr>
      <vt:lpstr>T_VidaMulti!_Actual</vt:lpstr>
      <vt:lpstr>T_AutoYSeguroMulti!_Amortizacion</vt:lpstr>
      <vt:lpstr>T_Merger!_Amortizacion</vt:lpstr>
      <vt:lpstr>T_RenovVidaAnual!_Amortizacion</vt:lpstr>
      <vt:lpstr>T_SeguroAnual!_Amortizacion</vt:lpstr>
      <vt:lpstr>T_SoloAuto!_Amortizacion</vt:lpstr>
      <vt:lpstr>T_VidaAnual!_Amortizacion</vt:lpstr>
      <vt:lpstr>T_VidaMulti!_Amortizacion</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T_SoloAuto!_Calculo_Capital</vt:lpstr>
      <vt:lpstr>T_VidaAnual!_Calculo_Capital</vt:lpstr>
      <vt:lpstr>T_VidaMulti!_Calculo_Capital</vt:lpstr>
      <vt:lpstr>T_AutoYSeguroMulti!_Capital</vt:lpstr>
      <vt:lpstr>T_Merger!_Capital</vt:lpstr>
      <vt:lpstr>T_SeguroAnual!_Capital</vt:lpstr>
      <vt:lpstr>T_SoloAuto!_Capital</vt:lpstr>
      <vt:lpstr>T_VidaAnual!_Capital</vt:lpstr>
      <vt:lpstr>T_VidaMulti!_Capital</vt:lpstr>
      <vt:lpstr>T_AutoYSeguroMulti!_Capital_Elegida</vt:lpstr>
      <vt:lpstr>T_SeguroAnual!_Capital_Elegida</vt:lpstr>
      <vt:lpstr>T_AutoYSeguroMulti!_Capital_Opcion_1</vt:lpstr>
      <vt:lpstr>T_Merger!_Capital_Opcion_1</vt:lpstr>
      <vt:lpstr>T_SeguroAnual!_Capital_Opcion_1</vt:lpstr>
      <vt:lpstr>T_AutoYSeguroMulti!_Capital_Opcion_2</vt:lpstr>
      <vt:lpstr>T_Merger!_Capital_Opcion_2</vt:lpstr>
      <vt:lpstr>T_SeguroAnual!_Capital_Opcion_2</vt:lpstr>
      <vt:lpstr>T_AutoYSeguroMulti!_Capital_Opcion_3</vt:lpstr>
      <vt:lpstr>T_Merger!_Capital_Opcion_3</vt:lpstr>
      <vt:lpstr>T_SeguroAnual!_Capital_Opcion_3</vt:lpstr>
      <vt:lpstr>T_AutoYSeguroMulti!_Capital_Original</vt:lpstr>
      <vt:lpstr>T_SeguroAnual!_Capital_Original</vt:lpstr>
      <vt:lpstr>T_AutoYSeguroMulti!_Captura_Abono_Local</vt:lpstr>
      <vt:lpstr>T_Merger!_Captura_Abono_Local</vt:lpstr>
      <vt:lpstr>T_SeguroAnual!_Captura_Abono_Local</vt:lpstr>
      <vt:lpstr>TablaCliente!_CapturaAbonoAnticipadoTablaCliente</vt:lpstr>
      <vt:lpstr>T_AutoYSeguroMulti!_Ciclicas</vt:lpstr>
      <vt:lpstr>T_RenovVidaAnual!_Ciclicas</vt:lpstr>
      <vt:lpstr>T_SeguroAnual!_Ciclicas</vt:lpstr>
      <vt:lpstr>T_SoloAuto!_Ciclicas</vt:lpstr>
      <vt:lpstr>T_VidaAnual!_Ciclicas</vt:lpstr>
      <vt:lpstr>T_VidaMulti!_Ciclicas</vt:lpstr>
      <vt:lpstr>T_AutoYSeguroMulti!_Ciclicas_Remanentes</vt:lpstr>
      <vt:lpstr>T_SeguroAnual!_Ciclicas_Remanentes</vt:lpstr>
      <vt:lpstr>T_AutoYSeguroMulti!_Ciclicas_Remanentes_Efectivas</vt:lpstr>
      <vt:lpstr>T_SeguroAnual!_Ciclicas_Remanentes_Efectivas</vt:lpstr>
      <vt:lpstr>T_AutoYSeguroMulti!_Ciclo</vt:lpstr>
      <vt:lpstr>T_RenovVidaAnual!_Ciclo</vt:lpstr>
      <vt:lpstr>T_SeguroAnual!_Ciclo</vt:lpstr>
      <vt:lpstr>T_SoloAuto!_Ciclo</vt:lpstr>
      <vt:lpstr>T_VidaAnual!_Ciclo</vt:lpstr>
      <vt:lpstr>T_VidaMulti!_Ciclo</vt:lpstr>
      <vt:lpstr>CAT!_Componentes_CAT</vt:lpstr>
      <vt:lpstr>T_AutoYSeguroMulti!_Componentes_Pago_Proyectado</vt:lpstr>
      <vt:lpstr>T_SeguroAnual!_Componentes_Pago_Proyectado</vt:lpstr>
      <vt:lpstr>Fechas!_Datos</vt:lpstr>
      <vt:lpstr>Fechas!_Día_Cotización</vt:lpstr>
      <vt:lpstr>T_SoloAuto!_Dias_Cat</vt:lpstr>
      <vt:lpstr>T_VidaAnual!_Dias_Cat</vt:lpstr>
      <vt:lpstr>T_VidaMulti!_Dias_Cat</vt:lpstr>
      <vt:lpstr>Fechas!_Dias_Interes_CAT</vt:lpstr>
      <vt:lpstr>T_AutoYSeguroMulti!_Dias_Interes_CAT</vt:lpstr>
      <vt:lpstr>T_SeguroAnual!_Dias_Interes_CAT</vt:lpstr>
      <vt:lpstr>Fechas!_Dias_Interes_Pago</vt:lpstr>
      <vt:lpstr>T_AutoYSeguroMulti!_Dias_Interes_Periodo</vt:lpstr>
      <vt:lpstr>T_Merger!_Dias_Interes_Periodo</vt:lpstr>
      <vt:lpstr>T_SeguroAnual!_Dias_Interes_Periodo</vt:lpstr>
      <vt:lpstr>T_SoloAuto!_Dias_Interes_Periodo</vt:lpstr>
      <vt:lpstr>T_VidaAnual!_Dias_Interes_Periodo</vt:lpstr>
      <vt:lpstr>T_VidaMulti!_Dias_Interes_Periodo</vt:lpstr>
      <vt:lpstr>Fechas!_Etiqueta_Duración_Intereses</vt:lpstr>
      <vt:lpstr>Fechas!_Etiqueta_Fechas_Pago</vt:lpstr>
      <vt:lpstr>Fechas!_Fecha_Cotización</vt:lpstr>
      <vt:lpstr>Fechas!_Fecha_Pago</vt:lpstr>
      <vt:lpstr>CAT!_Flujos.CAT</vt:lpstr>
      <vt:lpstr>Fechas!_Frecuencia</vt:lpstr>
      <vt:lpstr>Fechas!_Headers</vt:lpstr>
      <vt:lpstr>T_AutoYSeguroMulti!_Interes</vt:lpstr>
      <vt:lpstr>T_Merger!_Interes</vt:lpstr>
      <vt:lpstr>T_SeguroAnual!_Interes</vt:lpstr>
      <vt:lpstr>T_SoloAuto!_Interes</vt:lpstr>
      <vt:lpstr>T_VidaAnual!_Interes</vt:lpstr>
      <vt:lpstr>T_VidaMulti!_Interes</vt:lpstr>
      <vt:lpstr>T_AutoYSeguroMulti!_Interes_CAT</vt:lpstr>
      <vt:lpstr>T_SeguroAnual!_Interes_CAT</vt:lpstr>
      <vt:lpstr>T_SoloAuto!_Interes_CAT</vt:lpstr>
      <vt:lpstr>T_VidaAnual!_Interes_CAT</vt:lpstr>
      <vt:lpstr>T_VidaMulti!_Interes_CAT</vt:lpstr>
      <vt:lpstr>T_AutoYSeguroMulti!_Interes_Diario</vt:lpstr>
      <vt:lpstr>T_Merger!_Interes_Diario</vt:lpstr>
      <vt:lpstr>T_SeguroAnual!_Interes_Diario</vt:lpstr>
      <vt:lpstr>T_SoloAuto!_Interes_Diario</vt:lpstr>
      <vt:lpstr>T_VidaAnual!_Interes_Diario</vt:lpstr>
      <vt:lpstr>T_VidaMulti!_Interes_Diario</vt:lpstr>
      <vt:lpstr>T_AutoYSeguroMulti!_Interes_Diario_CAT</vt:lpstr>
      <vt:lpstr>T_SeguroAnual!_Interes_Diario_CAT</vt:lpstr>
      <vt:lpstr>T_AutoYSeguroMulti!_Interes_Diario_Original</vt:lpstr>
      <vt:lpstr>T_SeguroAnual!_Interes_Diario_Original</vt:lpstr>
      <vt:lpstr>T_AutoYSeguroMulti!_Interes_Original</vt:lpstr>
      <vt:lpstr>T_SeguroAnual!_Interes_Original</vt:lpstr>
      <vt:lpstr>T_AutoYSeguroMulti!_Interes_Periodo_Regular</vt:lpstr>
      <vt:lpstr>T_SeguroAnual!_Interes_Periodo_Regular</vt:lpstr>
      <vt:lpstr>T_SoloAuto!_Interes_Periodo_Regular</vt:lpstr>
      <vt:lpstr>T_VidaAnual!_Interes_Periodo_Regular</vt:lpstr>
      <vt:lpstr>T_VidaMulti!_Interes_Periodo_Regular</vt:lpstr>
      <vt:lpstr>T_AutoYSeguroMulti!_Interes_Regular_Original</vt:lpstr>
      <vt:lpstr>T_SeguroAnual!_Interes_Regular_Original</vt:lpstr>
      <vt:lpstr>T_AutoYSeguroMulti!_Iva</vt:lpstr>
      <vt:lpstr>T_Merger!_IVA</vt:lpstr>
      <vt:lpstr>T_SeguroAnual!_Iva</vt:lpstr>
      <vt:lpstr>T_SoloAuto!_Iva</vt:lpstr>
      <vt:lpstr>T_VidaAnual!_Iva</vt:lpstr>
      <vt:lpstr>T_VidaMulti!_Iva</vt:lpstr>
      <vt:lpstr>CAT!_Num.Flujo</vt:lpstr>
      <vt:lpstr>T_AutoYSeguroMulti!_Pago</vt:lpstr>
      <vt:lpstr>T_Merger!_Pago</vt:lpstr>
      <vt:lpstr>T_SeguroAnual!_Pago</vt:lpstr>
      <vt:lpstr>T_SoloAuto!_Pago</vt:lpstr>
      <vt:lpstr>T_VidaAnual!_Pago</vt:lpstr>
      <vt:lpstr>T_VidaMulti!_Pago</vt:lpstr>
      <vt:lpstr>T_AutoYSeguroMulti!_Pago_Cat</vt:lpstr>
      <vt:lpstr>T_SeguroAnual!_Pago_Cat</vt:lpstr>
      <vt:lpstr>T_SoloAuto!_Pago_CAT</vt:lpstr>
      <vt:lpstr>T_VidaAnual!_Pago_CAT</vt:lpstr>
      <vt:lpstr>T_VidaMulti!_Pago_CAT</vt:lpstr>
      <vt:lpstr>T_AutoYSeguroMulti!_Pago_Fijo</vt:lpstr>
      <vt:lpstr>T_Merger!_Pago_Fijo</vt:lpstr>
      <vt:lpstr>T_SeguroAnual!_Pago_Fijo</vt:lpstr>
      <vt:lpstr>T_SoloAuto!_Pago_Fijo</vt:lpstr>
      <vt:lpstr>T_VidaAnual!_Pago_Fijo</vt:lpstr>
      <vt:lpstr>T_VidaMulti!_Pago_Fijo</vt:lpstr>
      <vt:lpstr>T_AutoYSeguroMulti!_Pago_Proyectado</vt:lpstr>
      <vt:lpstr>T_SeguroAnual!_Pago_Proyectado</vt:lpstr>
      <vt:lpstr>Fechas!_Producto</vt:lpstr>
      <vt:lpstr>T_AutoYSeguroMulti!_Remanentes</vt:lpstr>
      <vt:lpstr>T_SeguroAnual!_Remanentes</vt:lpstr>
      <vt:lpstr>T_AutoYSeguroMulti!_Saldo_Ciclico</vt:lpstr>
      <vt:lpstr>T_SeguroAnual!_Saldo_Ciclico</vt:lpstr>
      <vt:lpstr>T_SoloAuto!_Saldo_Ciclico</vt:lpstr>
      <vt:lpstr>T_VidaAnual!_Saldo_Ciclico</vt:lpstr>
      <vt:lpstr>T_VidaMulti!_Saldo_Ciclico</vt:lpstr>
      <vt:lpstr>T_AutoYSeguroMulti!_Saldo_Final</vt:lpstr>
      <vt:lpstr>T_Merger!_Saldo_Final</vt:lpstr>
      <vt:lpstr>T_SeguroAnual!_Saldo_Final</vt:lpstr>
      <vt:lpstr>T_SoloAuto!_Saldo_Final</vt:lpstr>
      <vt:lpstr>T_VidaAnual!_Saldo_Final</vt:lpstr>
      <vt:lpstr>T_VidaMulti!_Saldo_Final</vt:lpstr>
      <vt:lpstr>T_AutoYSeguroMulti!_Saldo_Final_Original</vt:lpstr>
      <vt:lpstr>T_SeguroAnual!_Saldo_Final_Original</vt:lpstr>
      <vt:lpstr>T_AutoYSeguroMulti!_Saldo_Inicial</vt:lpstr>
      <vt:lpstr>T_Merger!_Saldo_Inicial</vt:lpstr>
      <vt:lpstr>T_SeguroAnual!_Saldo_Inicial</vt:lpstr>
      <vt:lpstr>T_SoloAuto!_Saldo_Inicial</vt:lpstr>
      <vt:lpstr>T_VidaAnual!_Saldo_Inicial</vt:lpstr>
      <vt:lpstr>T_VidaMulti!_Saldo_Inicial</vt:lpstr>
      <vt:lpstr>T_AutoYSeguroMulti!_Saldo_Inicial_Original</vt:lpstr>
      <vt:lpstr>T_SeguroAnual!_Saldo_Inicial_Original</vt:lpstr>
      <vt:lpstr>T_RenovVidaAnual!_Saldo_Renov_Anual</vt:lpstr>
      <vt:lpstr>T_Merger!_Salida_Abono_1</vt:lpstr>
      <vt:lpstr>T_Merger!_Salida_Abono_2</vt:lpstr>
      <vt:lpstr>T_AutoYSeguroMulti!_Sobrante_Acumulado_x_Ciclo</vt:lpstr>
      <vt:lpstr>T_SeguroAnual!_Sobrante_Acumulado_x_Ciclo</vt:lpstr>
      <vt:lpstr>T_AutoYSeguroMulti!_Stopper_Capital</vt:lpstr>
      <vt:lpstr>T_SeguroAnual!_Stopper_Capital</vt:lpstr>
      <vt:lpstr>T_SoloAuto!_Stopper_Capital</vt:lpstr>
      <vt:lpstr>T_VidaAnual!_Stopper_Capital</vt:lpstr>
      <vt:lpstr>T_VidaMulti!_Stopper_Capital</vt:lpstr>
      <vt:lpstr>T_AutoYSeguroMulti!_Stopper_Capital_Original</vt:lpstr>
      <vt:lpstr>T_SeguroAnual!_Stopper_Capital_Original</vt:lpstr>
      <vt:lpstr>T_Merger!_Stopper_Saldo_Inicial</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T_AutoYSeguroMulti!Componentes.Pago.Fijo</vt:lpstr>
      <vt:lpstr>T_SeguroAnual!Componentes.Pago.Fijo</vt:lpstr>
      <vt:lpstr>T_SoloAuto!Componentes.Pago.Fijo</vt:lpstr>
      <vt:lpstr>T_VidaAnual!Componentes.Pago.Fijo</vt:lpstr>
      <vt:lpstr>T_VidaMulti!Componentes.Pago.Fijo</vt:lpstr>
      <vt:lpstr>T_AutoYSeguroMulti!Componentes.Pago.Fijo.Inicial</vt:lpstr>
      <vt:lpstr>T_SeguroAnual!Componentes.Pago.Fijo.Inicial</vt:lpstr>
      <vt:lpstr>T_SoloAuto!Componentes.Pago.Fijo.Inicial</vt:lpstr>
      <vt:lpstr>T_VidaAnual!Componentes.Pago.Fijo.Inicial</vt:lpstr>
      <vt:lpstr>T_VidaMulti!Componentes.Pago.Fijo.Inicial</vt:lpstr>
      <vt:lpstr>CondicionAuto_Descripcion</vt:lpstr>
      <vt:lpstr>CondicionAutoEs3.5T?</vt:lpstr>
      <vt:lpstr>CondicionAutoEsNuevo?</vt:lpstr>
      <vt:lpstr>CondicionAutoEsSeminuevo?</vt:lpstr>
      <vt:lpstr>CondicionModeloAnterior</vt:lpstr>
      <vt:lpstr>CondicionModeloReciente</vt:lpstr>
      <vt:lpstr>T_AutoYSeguroMulti!Config.Estandar</vt:lpstr>
      <vt:lpstr>T_SeguroAnual!Config.Estandar</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CONTEO_MARCAS</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T_AutoYSeguroMulti!Dias.En.Año</vt:lpstr>
      <vt:lpstr>T_Merger!Dias.En.Año</vt:lpstr>
      <vt:lpstr>T_SeguroAnual!Dias.En.Año</vt:lpstr>
      <vt:lpstr>T_SoloAuto!Dias.En.Año</vt:lpstr>
      <vt:lpstr>T_VidaAnual!Dias.En.Año</vt:lpstr>
      <vt:lpstr>T_VidaMulti!Dias.En.Año</vt:lpstr>
      <vt:lpstr>T_AutoYSeguroMulti!Dias.Por.Periodo</vt:lpstr>
      <vt:lpstr>T_Merger!Dias.Por.Periodo</vt:lpstr>
      <vt:lpstr>T_SeguroAnual!Dias.Por.Periodo</vt:lpstr>
      <vt:lpstr>T_SoloAuto!Dias.Por.Periodo</vt:lpstr>
      <vt:lpstr>T_VidaAnual!Dias.Por.Periodo</vt:lpstr>
      <vt:lpstr>T_VidaMulti!Dias.Por.Periodo</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T_AutoYSeguroMulti!Iva.Intereses</vt:lpstr>
      <vt:lpstr>T_Merger!Iva.Intereses</vt:lpstr>
      <vt:lpstr>T_SeguroAnual!Iva.Intereses</vt:lpstr>
      <vt:lpstr>T_SoloAuto!Iva.Intereses</vt:lpstr>
      <vt:lpstr>T_VidaAnual!Iva.Intereses</vt:lpstr>
      <vt:lpstr>T_VidaMulti!Iva.Intereses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T_AutoYSeguroMulti!Monto.Extra.Ciclo.1</vt:lpstr>
      <vt:lpstr>T_SeguroAnual!Monto.Extra.Ciclo.1</vt:lpstr>
      <vt:lpstr>T_SoloAuto!Monto.Extra.Ciclo.1</vt:lpstr>
      <vt:lpstr>T_VidaAnual!Monto.Extra.Ciclo.1</vt:lpstr>
      <vt:lpstr>T_VidaMulti!Monto.Extra.Ciclo.1</vt:lpstr>
      <vt:lpstr>T_AutoYSeguroMulti!Monto.Financiar</vt:lpstr>
      <vt:lpstr>T_SeguroAnual!Monto.Financiar</vt:lpstr>
      <vt:lpstr>T_SoloAuto!Monto.Financiar</vt:lpstr>
      <vt:lpstr>T_VidaAnual!Monto.Financiar</vt:lpstr>
      <vt:lpstr>T_VidaMulti!Monto.Financiar</vt:lpstr>
      <vt:lpstr>T_AutoYSeguroMulti!Monto.Financiar.Ciclico</vt:lpstr>
      <vt:lpstr>T_SeguroAnual!Monto.Financiar.Ciclico</vt:lpstr>
      <vt:lpstr>T_RenovVidaAnual!Monto.Renovacion</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T_Merger!Nombre.Tabla.Ciclica</vt:lpstr>
      <vt:lpstr>T_Merger!Nombre.Tabla.Estandar</vt:lpstr>
      <vt:lpstr>NombreTarifaSemiAnt</vt:lpstr>
      <vt:lpstr>T_RenovVidaAnual!Numero.De.Pagos</vt:lpstr>
      <vt:lpstr>T_AutoYSeguroMulti!Numero.Pagos</vt:lpstr>
      <vt:lpstr>T_Merger!Numero.pagos</vt:lpstr>
      <vt:lpstr>T_SeguroAnual!Numero.Pagos</vt:lpstr>
      <vt:lpstr>T_SoloAuto!Numero.Pagos</vt:lpstr>
      <vt:lpstr>T_VidaAnual!Numero.Pagos</vt:lpstr>
      <vt:lpstr>T_VidaMulti!Numero.Pagos</vt:lpstr>
      <vt:lpstr>NumeroDePagos</vt:lpstr>
      <vt:lpstr>T_AutoYSeguroMulti!Opcion.Abono</vt:lpstr>
      <vt:lpstr>T_Merger!Opcion.Abono</vt:lpstr>
      <vt:lpstr>T_SeguroAnual!Opcion.Abono</vt:lpstr>
      <vt:lpstr>Opción_1_2_Semi</vt:lpstr>
      <vt:lpstr>Opción_3_Semi</vt:lpstr>
      <vt:lpstr>T_AutoYSeguroMulti!Pago.Extra.Ciclo.1</vt:lpstr>
      <vt:lpstr>T_SeguroAnual!Pago.Extra.Ciclo.1</vt:lpstr>
      <vt:lpstr>T_SoloAuto!Pago.Extra.Ciclo.1</vt:lpstr>
      <vt:lpstr>T_VidaAnual!Pago.Extra.Ciclo.1</vt:lpstr>
      <vt:lpstr>T_VidaMulti!Pago.Extra.Ciclo.1</vt:lpstr>
      <vt:lpstr>T_AutoYSeguroMulti!Pago.Fijo</vt:lpstr>
      <vt:lpstr>T_SeguroAnual!Pago.Fijo</vt:lpstr>
      <vt:lpstr>T_SoloAuto!Pago.Fijo</vt:lpstr>
      <vt:lpstr>T_VidaAnual!Pago.Fijo</vt:lpstr>
      <vt:lpstr>T_VidaMulti!Pago.Fijo</vt:lpstr>
      <vt:lpstr>PagoAuto</vt:lpstr>
      <vt:lpstr>PagoSeguro</vt:lpstr>
      <vt:lpstr>PagoTotal</vt:lpstr>
      <vt:lpstr>T_AutoYSeguroMulti!Parametro.Monto.Extra.Ciclo.1</vt:lpstr>
      <vt:lpstr>T_SeguroAnual!Parametro.Monto.Extra.Ciclo.1</vt:lpstr>
      <vt:lpstr>T_SoloAuto!Parametro.Monto.Extra.Ciclo.1</vt:lpstr>
      <vt:lpstr>T_VidaAnual!Parametro.Monto.Extra.Ciclo.1</vt:lpstr>
      <vt:lpstr>T_VidaMulti!Parametro.Monto.Extra.Ciclo.1</vt:lpstr>
      <vt:lpstr>T_AutoYSeguroMulti!Parametro.Rango.Abono.Anticipado</vt:lpstr>
      <vt:lpstr>T_SeguroAnual!Parametro.Rango.Abono.Anticipado</vt:lpstr>
      <vt:lpstr>T_AutoYSeguroMulti!Parametro.Rango.Dias.Cat</vt:lpstr>
      <vt:lpstr>T_SeguroAnual!Parametro.Rango.Dias.Cat</vt:lpstr>
      <vt:lpstr>T_SoloAuto!Parametro.Rango.Dias.CAT</vt:lpstr>
      <vt:lpstr>T_VidaAnual!Parametro.Rango.Dias.CAT</vt:lpstr>
      <vt:lpstr>T_VidaMulti!Parametro.Rango.Dias.CAT</vt:lpstr>
      <vt:lpstr>T_AutoYSeguroMulti!Parametro.Rango.Dias.Periodo</vt:lpstr>
      <vt:lpstr>T_SeguroAnual!Parametro.Rango.Dias.Periodo</vt:lpstr>
      <vt:lpstr>T_SoloAuto!Parametro.Rango.Dias.Periodo</vt:lpstr>
      <vt:lpstr>T_VidaAnual!Parametro.Rango.Dias.Periodo</vt:lpstr>
      <vt:lpstr>T_VidaMulti!Parametro.Rango.Dias.Periodo</vt:lpstr>
      <vt:lpstr>T_AutoYSeguroMulti!Parametro.Tabla.Ciclica.Anual?</vt:lpstr>
      <vt:lpstr>T_SeguroAnual!Parametro.Tabla.Ciclica.Anual?</vt:lpstr>
      <vt:lpstr>T_SoloAuto!Parametro.Tabla.Ciclica.Anual?</vt:lpstr>
      <vt:lpstr>T_VidaAnual!Parametro.Tabla.Ciclica.Anual?</vt:lpstr>
      <vt:lpstr>T_VidaMulti!Parametro.Tabla.Ciclica.Anual?</vt:lpstr>
      <vt:lpstr>T_AutoYSeguroMulti!Periodos.Efectivos</vt:lpstr>
      <vt:lpstr>T_Merger!Periodos.Efectivos</vt:lpstr>
      <vt:lpstr>T_SeguroAnual!Periodos.Efectivos</vt:lpstr>
      <vt:lpstr>T_AutoYSeguroMulti!Periodos.Por.Año</vt:lpstr>
      <vt:lpstr>T_Merger!Periodos.Por.Año</vt:lpstr>
      <vt:lpstr>T_RenovVidaAnual!Periodos.Por.Año</vt:lpstr>
      <vt:lpstr>T_SeguroAnual!Periodos.Por.Año</vt:lpstr>
      <vt:lpstr>T_SoloAuto!Periodos.Por.Año</vt:lpstr>
      <vt:lpstr>T_VidaAnual!Periodos.Por.Año</vt:lpstr>
      <vt:lpstr>T_VidaMulti!Periodos.Por.Año</vt:lpstr>
      <vt:lpstr>T_AutoYSeguroMulti!Periodos.Por.Ciclo</vt:lpstr>
      <vt:lpstr>T_RenovVidaAnual!Periodos.Por.Ciclo</vt:lpstr>
      <vt:lpstr>T_SeguroAnual!Periodos.Por.Ciclo</vt:lpstr>
      <vt:lpstr>T_SoloAuto!Periodos.Por.Ciclo</vt:lpstr>
      <vt:lpstr>T_VidaAnual!Periodos.Por.Ciclo</vt:lpstr>
      <vt:lpstr>T_VidaMulti!Periodos.Por.Ciclo</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T_AutoYSeguroMulti!Rango.Abono.Anticipado</vt:lpstr>
      <vt:lpstr>T_Merger!Rango.Abono.Anticipado</vt:lpstr>
      <vt:lpstr>T_SeguroAnual!Rango.Abono.Anticipado</vt:lpstr>
      <vt:lpstr>T_Merger!Rango.Ciclico.Abono.Sobrante</vt:lpstr>
      <vt:lpstr>T_Merger!Rango.Ciclico.Capital</vt:lpstr>
      <vt:lpstr>T_Merger!Rango.Ciclico.Pago</vt:lpstr>
      <vt:lpstr>T_Merger!Rango.Ciclico.Saldo</vt:lpstr>
      <vt:lpstr>T_AutoYSeguroMulti!Rango.Dias.Cat</vt:lpstr>
      <vt:lpstr>T_SeguroAnual!Rango.Dias.Cat</vt:lpstr>
      <vt:lpstr>T_SoloAuto!Rango.Dias.CAT</vt:lpstr>
      <vt:lpstr>T_VidaAnual!Rango.Dias.CAT</vt:lpstr>
      <vt:lpstr>T_VidaMulti!Rango.Dias.CAT</vt:lpstr>
      <vt:lpstr>T_AutoYSeguroMulti!Rango.Dias.Periodo</vt:lpstr>
      <vt:lpstr>T_SeguroAnual!Rango.Dias.Periodo</vt:lpstr>
      <vt:lpstr>T_SoloAuto!Rango.Dias.Periodo</vt:lpstr>
      <vt:lpstr>T_VidaAnual!Rango.Dias.Periodo</vt:lpstr>
      <vt:lpstr>T_VidaMulti!Rango.Dias.Periodo</vt:lpstr>
      <vt:lpstr>T_Merger!Rango.Estandar.Capital</vt:lpstr>
      <vt:lpstr>T_Merger!Rango.Estandar.Dias.Periodo</vt:lpstr>
      <vt:lpstr>T_Merger!Rango.Estandar.Pago</vt:lpstr>
      <vt:lpstr>T_Merger!Rango.Estandar.Saldo</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T_AutoYSeguroMulti!Renueva.Abono.Sobrante?</vt:lpstr>
      <vt:lpstr>T_SeguroAnual!Renueva.Abono.Sobrante?</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T_AutoYSeguroMulti!Tabla.Ciclica.Anual?</vt:lpstr>
      <vt:lpstr>T_SeguroAnual!Tabla.Ciclica.Anual?</vt:lpstr>
      <vt:lpstr>T_SoloAuto!Tabla.Ciclica.Anual?</vt:lpstr>
      <vt:lpstr>T_VidaAnual!Tabla.Ciclica.Anual?</vt:lpstr>
      <vt:lpstr>T_VidaMulti!Tabla.Ciclica.Anual?</vt:lpstr>
      <vt:lpstr>Tarifa_IndemnVF</vt:lpstr>
      <vt:lpstr>Tarifa_IndemnVF_Seminuevos_Recientes</vt:lpstr>
      <vt:lpstr>T_AutoYSeguroMulti!Tasa.Diaria</vt:lpstr>
      <vt:lpstr>T_Merger!Tasa.Diaria</vt:lpstr>
      <vt:lpstr>T_SeguroAnual!Tasa.Diaria</vt:lpstr>
      <vt:lpstr>T_SoloAuto!Tasa.Diaria</vt:lpstr>
      <vt:lpstr>T_VidaAnual!Tasa.Diaria</vt:lpstr>
      <vt:lpstr>T_VidaMulti!Tasa.Diaria</vt:lpstr>
      <vt:lpstr>T_AutoYSeguroMulti!Tasa.Diaria.Por.Periodo</vt:lpstr>
      <vt:lpstr>T_Merger!Tasa.Diaria.Por.Periodo</vt:lpstr>
      <vt:lpstr>T_SeguroAnual!Tasa.Diaria.Por.Periodo</vt:lpstr>
      <vt:lpstr>T_SoloAuto!Tasa.Diaria.Por.Periodo</vt:lpstr>
      <vt:lpstr>T_VidaAnual!Tasa.Diaria.Por.Periodo</vt:lpstr>
      <vt:lpstr>T_VidaMulti!Tasa.Diaria.Por.Periodo</vt:lpstr>
      <vt:lpstr>T_AutoYSeguroMulti!Tasa.Interes</vt:lpstr>
      <vt:lpstr>T_Merger!Tasa.Interes</vt:lpstr>
      <vt:lpstr>T_SeguroAnual!Tasa.Interes</vt:lpstr>
      <vt:lpstr>T_SoloAuto!Tasa.Interes</vt:lpstr>
      <vt:lpstr>T_VidaAnual!Tasa.Interes</vt:lpstr>
      <vt:lpstr>T_VidaMulti!Tasa.Interes</vt:lpstr>
      <vt:lpstr>T_AutoYSeguroMulti!Tasa.Por.Periodo</vt:lpstr>
      <vt:lpstr>T_Merger!Tasa.Por.Periodo</vt:lpstr>
      <vt:lpstr>T_SeguroAnual!Tasa.Por.Periodo</vt:lpstr>
      <vt:lpstr>T_SoloAuto!Tasa.Por.Periodo</vt:lpstr>
      <vt:lpstr>T_VidaAnual!Tasa.Por.Periodo</vt:lpstr>
      <vt:lpstr>T_VidaMulti!Tasa.Por.Periodo</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2015-03-06T23:20:35Z</cp:lastPrinted>
  <dcterms:created xsi:type="dcterms:W3CDTF">2011-09-05T15:19:00Z</dcterms:created>
  <dcterms:modified xsi:type="dcterms:W3CDTF">2015-09-22T20:33:27Z</dcterms:modified>
</cp:coreProperties>
</file>